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DieseArbeitsmappe" autoCompressPictures="0" defaultThemeVersion="124226"/>
  <mc:AlternateContent xmlns:mc="http://schemas.openxmlformats.org/markup-compatibility/2006">
    <mc:Choice Requires="x15">
      <x15ac:absPath xmlns:x15ac="http://schemas.microsoft.com/office/spreadsheetml/2010/11/ac" url="M:\05 Soziales und Gesundheit\Gesundheit 680\Langzeitpflege\Organisation Langzeitpflege\Taxen-Arbeitsgruppe\Schulung\2023\"/>
    </mc:Choice>
  </mc:AlternateContent>
  <xr:revisionPtr revIDLastSave="0" documentId="13_ncr:1_{42EF8620-7EDC-4E5B-AE1F-A1A2F2D4BA79}" xr6:coauthVersionLast="47" xr6:coauthVersionMax="47" xr10:uidLastSave="{00000000-0000-0000-0000-000000000000}"/>
  <bookViews>
    <workbookView xWindow="-108" yWindow="-108" windowWidth="23256" windowHeight="14976" tabRatio="821" activeTab="1" xr2:uid="{00000000-000D-0000-FFFF-FFFF00000000}"/>
  </bookViews>
  <sheets>
    <sheet name="Pflegetaxe Budget" sheetId="5" r:id="rId1"/>
    <sheet name="Anlagek. Budget" sheetId="8" r:id="rId2"/>
    <sheet name="Pensionstaxe Budget" sheetId="25" r:id="rId3"/>
    <sheet name="Erfolgsrechnung" sheetId="26" state="hidden" r:id="rId4"/>
    <sheet name="Taxen" sheetId="10" r:id="rId5"/>
    <sheet name="Eingabedaten" sheetId="24" state="hidden" r:id="rId6"/>
    <sheet name="Vergleiche" sheetId="29" r:id="rId7"/>
  </sheets>
  <definedNames>
    <definedName name="_xlnm.Print_Area" localSheetId="1">'Anlagek. Budget'!$A$1:$L$56</definedName>
    <definedName name="_xlnm.Print_Area" localSheetId="5">Eingabedaten!$A$1:$F$108</definedName>
    <definedName name="_xlnm.Print_Area" localSheetId="0">'Pflegetaxe Budget'!$A$1:$I$91</definedName>
    <definedName name="kk" localSheetId="3">#REF!</definedName>
    <definedName name="KST_Akut_Spalten" localSheetId="3">#REF!</definedName>
    <definedName name="KST_Ambulant_Spalte" localSheetId="3">#REF!</definedName>
    <definedName name="KST_Apotheke_Spalte" localSheetId="3">#REF!</definedName>
    <definedName name="KST_Apotheke_Zeile" localSheetId="3">#REF!</definedName>
    <definedName name="KST_Arztdienst_Spalte" localSheetId="3">#REF!</definedName>
    <definedName name="KST_Ergotherapie_Spalte" localSheetId="3">#REF!</definedName>
    <definedName name="KST_Hauswirtschaft_Spalte" localSheetId="3">#REF!</definedName>
    <definedName name="KST_Hauswirtschaft_Zeile" localSheetId="3">#REF!</definedName>
    <definedName name="KST_nebenbetriebe_Spalte" localSheetId="3">#REF!</definedName>
    <definedName name="KST_Physiotherapie_Spalte" localSheetId="3">#REF!</definedName>
    <definedName name="KST_Struktur_Spalte" localSheetId="3">#REF!</definedName>
    <definedName name="KST_Transportdienst_Spalte" localSheetId="3">#REF!</definedName>
    <definedName name="KST_Transportdienst_Zeile" localSheetId="3">#REF!</definedName>
    <definedName name="KST_Zentralmagazin_Spalte" localSheetId="3">#REF!</definedName>
    <definedName name="KST_Zentralmagazin_Zeile" localSheetId="3">#REF!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29" l="1"/>
  <c r="H52" i="29"/>
  <c r="F106" i="29" l="1"/>
  <c r="D106" i="29"/>
  <c r="F89" i="29"/>
  <c r="F77" i="29"/>
  <c r="F73" i="29"/>
  <c r="F68" i="29"/>
  <c r="F61" i="29"/>
  <c r="F54" i="29"/>
  <c r="F43" i="29"/>
  <c r="F23" i="29"/>
  <c r="O3" i="29" l="1"/>
  <c r="O4" i="29"/>
  <c r="O22" i="29"/>
  <c r="O23" i="29"/>
  <c r="O24" i="29"/>
  <c r="O42" i="29"/>
  <c r="O43" i="29"/>
  <c r="O52" i="29"/>
  <c r="O53" i="29"/>
  <c r="O54" i="29"/>
  <c r="O60" i="29"/>
  <c r="O61" i="29"/>
  <c r="O65" i="29"/>
  <c r="O68" i="29"/>
  <c r="O69" i="29"/>
  <c r="O72" i="29"/>
  <c r="O73" i="29"/>
  <c r="O77" i="29"/>
  <c r="O83" i="29"/>
  <c r="O86" i="29"/>
  <c r="O87" i="29"/>
  <c r="O89" i="29"/>
  <c r="O95" i="29"/>
  <c r="I53" i="5" l="1"/>
  <c r="E51" i="5"/>
  <c r="F105" i="29" l="1"/>
  <c r="F104" i="29"/>
  <c r="F103" i="29"/>
  <c r="F102" i="29"/>
  <c r="F101" i="29"/>
  <c r="F99" i="29"/>
  <c r="L100" i="29"/>
  <c r="J100" i="29"/>
  <c r="D99" i="29"/>
  <c r="D101" i="29"/>
  <c r="D102" i="29"/>
  <c r="D103" i="29"/>
  <c r="D105" i="29"/>
  <c r="D111" i="29"/>
  <c r="D124" i="29" s="1"/>
  <c r="D113" i="29"/>
  <c r="D120" i="29"/>
  <c r="D127" i="29"/>
  <c r="M111" i="29"/>
  <c r="F107" i="29" l="1"/>
  <c r="F108" i="29" s="1"/>
  <c r="D139" i="29"/>
  <c r="D117" i="29"/>
  <c r="G39" i="5"/>
  <c r="C28" i="5"/>
  <c r="G1" i="25" l="1"/>
  <c r="A79" i="29" l="1"/>
  <c r="A80" i="29"/>
  <c r="A81" i="29"/>
  <c r="A82" i="29"/>
  <c r="A83" i="29"/>
  <c r="A84" i="29"/>
  <c r="A78" i="29"/>
  <c r="E1" i="10" l="1"/>
  <c r="D104" i="29" l="1"/>
  <c r="D107" i="29" s="1"/>
  <c r="D108" i="29" s="1"/>
  <c r="D131" i="29" s="1"/>
  <c r="D135" i="29" l="1"/>
  <c r="D142" i="29"/>
  <c r="C34" i="10" l="1"/>
  <c r="C33" i="10"/>
  <c r="C32" i="10"/>
  <c r="C31" i="10"/>
  <c r="C30" i="10"/>
  <c r="C29" i="10"/>
  <c r="C28" i="10"/>
  <c r="C27" i="10"/>
  <c r="C26" i="10"/>
  <c r="C25" i="10"/>
  <c r="C24" i="10"/>
  <c r="A2" i="29" l="1"/>
  <c r="F113" i="29" l="1"/>
  <c r="H89" i="29" l="1"/>
  <c r="F127" i="29" l="1"/>
  <c r="L65" i="29"/>
  <c r="J65" i="29"/>
  <c r="B139" i="29" l="1"/>
  <c r="F120" i="29" l="1"/>
  <c r="C124" i="29" l="1"/>
  <c r="E124" i="29"/>
  <c r="G124" i="29"/>
  <c r="I124" i="29"/>
  <c r="K124" i="29"/>
  <c r="B124" i="29"/>
  <c r="C117" i="29"/>
  <c r="I117" i="29"/>
  <c r="K117" i="29"/>
  <c r="B117" i="29"/>
  <c r="J111" i="29"/>
  <c r="L111" i="29"/>
  <c r="F111" i="29"/>
  <c r="H111" i="29"/>
  <c r="L124" i="29" l="1"/>
  <c r="L139" i="29"/>
  <c r="J124" i="29"/>
  <c r="J139" i="29"/>
  <c r="H124" i="29"/>
  <c r="H139" i="29"/>
  <c r="M124" i="29"/>
  <c r="M139" i="29"/>
  <c r="F124" i="29"/>
  <c r="F139" i="29"/>
  <c r="H117" i="29"/>
  <c r="M117" i="29"/>
  <c r="L117" i="29"/>
  <c r="J117" i="29"/>
  <c r="F117" i="29"/>
  <c r="H80" i="29" l="1"/>
  <c r="O80" i="29" s="1"/>
  <c r="L80" i="29" l="1"/>
  <c r="J80" i="29"/>
  <c r="H97" i="29"/>
  <c r="O97" i="29" s="1"/>
  <c r="H96" i="29"/>
  <c r="O96" i="29" s="1"/>
  <c r="H93" i="29"/>
  <c r="O93" i="29" s="1"/>
  <c r="H92" i="29"/>
  <c r="O92" i="29" s="1"/>
  <c r="H91" i="29"/>
  <c r="O91" i="29" s="1"/>
  <c r="H90" i="29"/>
  <c r="O90" i="29" s="1"/>
  <c r="J96" i="29" l="1"/>
  <c r="L96" i="29"/>
  <c r="L97" i="29"/>
  <c r="J97" i="29"/>
  <c r="J93" i="29"/>
  <c r="L93" i="29"/>
  <c r="J92" i="29"/>
  <c r="L92" i="29"/>
  <c r="L91" i="29"/>
  <c r="J91" i="29"/>
  <c r="J90" i="29"/>
  <c r="L90" i="29"/>
  <c r="H95" i="29" l="1"/>
  <c r="J95" i="29" l="1"/>
  <c r="L95" i="29"/>
  <c r="A87" i="29"/>
  <c r="A86" i="29"/>
  <c r="H84" i="29" l="1"/>
  <c r="O84" i="29" s="1"/>
  <c r="H83" i="29"/>
  <c r="H87" i="29"/>
  <c r="H88" i="29"/>
  <c r="O88" i="29" s="1"/>
  <c r="H86" i="29"/>
  <c r="H67" i="29"/>
  <c r="O67" i="29" s="1"/>
  <c r="H77" i="29"/>
  <c r="H73" i="29"/>
  <c r="H68" i="29"/>
  <c r="H61" i="29"/>
  <c r="H54" i="29"/>
  <c r="H43" i="29"/>
  <c r="H23" i="29"/>
  <c r="H63" i="29"/>
  <c r="O63" i="29" s="1"/>
  <c r="H64" i="29"/>
  <c r="O64" i="29" s="1"/>
  <c r="H62" i="29"/>
  <c r="O62" i="29" s="1"/>
  <c r="J64" i="29" l="1"/>
  <c r="L64" i="29"/>
  <c r="L67" i="29"/>
  <c r="J67" i="29"/>
  <c r="L86" i="29"/>
  <c r="J86" i="29"/>
  <c r="L88" i="29"/>
  <c r="J88" i="29"/>
  <c r="J87" i="29"/>
  <c r="L87" i="29"/>
  <c r="L84" i="29"/>
  <c r="J84" i="29"/>
  <c r="L83" i="29"/>
  <c r="J83" i="29"/>
  <c r="J63" i="29"/>
  <c r="L63" i="29"/>
  <c r="L62" i="29"/>
  <c r="J62" i="29"/>
  <c r="H79" i="29"/>
  <c r="O79" i="29" s="1"/>
  <c r="H81" i="29"/>
  <c r="O81" i="29" s="1"/>
  <c r="H82" i="29"/>
  <c r="O82" i="29" s="1"/>
  <c r="H78" i="29"/>
  <c r="O78" i="29" s="1"/>
  <c r="H50" i="29"/>
  <c r="O50" i="29" s="1"/>
  <c r="L52" i="29" l="1"/>
  <c r="J52" i="29"/>
  <c r="J50" i="29"/>
  <c r="L50" i="29"/>
  <c r="L53" i="29"/>
  <c r="J53" i="29"/>
  <c r="J82" i="29"/>
  <c r="L82" i="29"/>
  <c r="L81" i="29"/>
  <c r="J81" i="29"/>
  <c r="J79" i="29"/>
  <c r="L79" i="29"/>
  <c r="L78" i="29"/>
  <c r="J78" i="29"/>
  <c r="H85" i="29"/>
  <c r="O85" i="29" s="1"/>
  <c r="J85" i="29" l="1"/>
  <c r="L85" i="29"/>
  <c r="L54" i="29"/>
  <c r="J54" i="29"/>
  <c r="L1" i="29"/>
  <c r="H109" i="29"/>
  <c r="B90" i="24"/>
  <c r="C90" i="24"/>
  <c r="B85" i="24"/>
  <c r="C85" i="24"/>
  <c r="B79" i="24"/>
  <c r="C79" i="24"/>
  <c r="B64" i="24"/>
  <c r="C64" i="24"/>
  <c r="B56" i="24"/>
  <c r="C56" i="24"/>
  <c r="B44" i="24"/>
  <c r="C44" i="24"/>
  <c r="B21" i="24"/>
  <c r="C21" i="24"/>
  <c r="L68" i="29" l="1"/>
  <c r="J61" i="29"/>
  <c r="L73" i="29"/>
  <c r="J77" i="29"/>
  <c r="J89" i="29" s="1"/>
  <c r="J43" i="29"/>
  <c r="J68" i="29"/>
  <c r="J73" i="29"/>
  <c r="J23" i="29"/>
  <c r="L43" i="29"/>
  <c r="L61" i="29"/>
  <c r="L77" i="29"/>
  <c r="L89" i="29" s="1"/>
  <c r="L23" i="29"/>
  <c r="D45" i="8" l="1"/>
  <c r="A44" i="8"/>
  <c r="A31" i="8"/>
  <c r="D32" i="8"/>
  <c r="D99" i="24" l="1"/>
  <c r="D97" i="24"/>
  <c r="D96" i="24"/>
  <c r="D95" i="24"/>
  <c r="D94" i="24"/>
  <c r="D76" i="24" l="1"/>
  <c r="E76" i="24" s="1"/>
  <c r="F76" i="24" l="1"/>
  <c r="D75" i="24" l="1"/>
  <c r="D74" i="24"/>
  <c r="D73" i="24"/>
  <c r="D72" i="24"/>
  <c r="D71" i="24"/>
  <c r="H14" i="25" l="1"/>
  <c r="D91" i="24" l="1"/>
  <c r="A73" i="26"/>
  <c r="H73" i="26"/>
  <c r="A69" i="26"/>
  <c r="A58" i="26"/>
  <c r="A59" i="26"/>
  <c r="A60" i="26"/>
  <c r="A61" i="26"/>
  <c r="A62" i="26"/>
  <c r="A63" i="26"/>
  <c r="A64" i="26"/>
  <c r="A65" i="26"/>
  <c r="A66" i="26"/>
  <c r="A67" i="26"/>
  <c r="A68" i="26"/>
  <c r="A57" i="26"/>
  <c r="A31" i="26"/>
  <c r="H14" i="26"/>
  <c r="H15" i="26"/>
  <c r="H16" i="26"/>
  <c r="A16" i="26"/>
  <c r="A15" i="26"/>
  <c r="A14" i="26"/>
  <c r="A12" i="26"/>
  <c r="A13" i="26"/>
  <c r="A11" i="26"/>
  <c r="F54" i="26"/>
  <c r="B54" i="26"/>
  <c r="A54" i="26"/>
  <c r="F53" i="26"/>
  <c r="B53" i="26"/>
  <c r="A53" i="26"/>
  <c r="F52" i="26"/>
  <c r="B52" i="26"/>
  <c r="A52" i="26"/>
  <c r="F51" i="26"/>
  <c r="B51" i="26"/>
  <c r="A51" i="26"/>
  <c r="F50" i="26"/>
  <c r="B50" i="26"/>
  <c r="A50" i="26"/>
  <c r="F49" i="26"/>
  <c r="B49" i="26"/>
  <c r="A49" i="26"/>
  <c r="F48" i="26"/>
  <c r="B48" i="26"/>
  <c r="A48" i="26"/>
  <c r="F47" i="26"/>
  <c r="B47" i="26"/>
  <c r="A47" i="26"/>
  <c r="F46" i="26"/>
  <c r="B46" i="26"/>
  <c r="A46" i="26"/>
  <c r="F45" i="26"/>
  <c r="B45" i="26"/>
  <c r="A45" i="26"/>
  <c r="F44" i="26"/>
  <c r="B44" i="26"/>
  <c r="A44" i="26"/>
  <c r="F43" i="26"/>
  <c r="B43" i="26"/>
  <c r="A43" i="26"/>
  <c r="F42" i="26"/>
  <c r="B42" i="26"/>
  <c r="A42" i="26"/>
  <c r="F41" i="26"/>
  <c r="B41" i="26"/>
  <c r="A41" i="26"/>
  <c r="H40" i="26"/>
  <c r="F40" i="26"/>
  <c r="D40" i="26"/>
  <c r="B40" i="26"/>
  <c r="A40" i="26"/>
  <c r="H77" i="26"/>
  <c r="A77" i="26"/>
  <c r="H76" i="26"/>
  <c r="A76" i="26"/>
  <c r="H75" i="26"/>
  <c r="A75" i="26"/>
  <c r="H74" i="26"/>
  <c r="A74" i="26"/>
  <c r="C38" i="26"/>
  <c r="B38" i="26"/>
  <c r="A38" i="26"/>
  <c r="H37" i="26"/>
  <c r="G37" i="26"/>
  <c r="F37" i="26"/>
  <c r="E37" i="26"/>
  <c r="D37" i="26"/>
  <c r="C37" i="26"/>
  <c r="B37" i="26"/>
  <c r="A37" i="26"/>
  <c r="H35" i="26"/>
  <c r="G35" i="26"/>
  <c r="A35" i="26"/>
  <c r="H34" i="26"/>
  <c r="G34" i="26"/>
  <c r="A34" i="26"/>
  <c r="H33" i="26"/>
  <c r="G33" i="26"/>
  <c r="A33" i="26"/>
  <c r="G32" i="26"/>
  <c r="A32" i="26"/>
  <c r="G31" i="26"/>
  <c r="G30" i="26"/>
  <c r="A30" i="26"/>
  <c r="G29" i="26"/>
  <c r="H28" i="26"/>
  <c r="G28" i="26"/>
  <c r="A28" i="26"/>
  <c r="H27" i="26"/>
  <c r="G27" i="26"/>
  <c r="A27" i="26"/>
  <c r="H26" i="26"/>
  <c r="G26" i="26"/>
  <c r="A26" i="26"/>
  <c r="H25" i="26"/>
  <c r="G25" i="26"/>
  <c r="A25" i="26"/>
  <c r="G24" i="26"/>
  <c r="A24" i="26"/>
  <c r="G23" i="26"/>
  <c r="A23" i="26"/>
  <c r="G22" i="26"/>
  <c r="A22" i="26"/>
  <c r="H21" i="26"/>
  <c r="G21" i="26"/>
  <c r="A21" i="26"/>
  <c r="G20" i="26"/>
  <c r="A20" i="26"/>
  <c r="A19" i="26"/>
  <c r="H17" i="26"/>
  <c r="E17" i="26"/>
  <c r="D17" i="26"/>
  <c r="C17" i="26"/>
  <c r="B17" i="26"/>
  <c r="A17" i="26"/>
  <c r="H10" i="26"/>
  <c r="A10" i="26"/>
  <c r="H9" i="26"/>
  <c r="A9" i="26"/>
  <c r="H8" i="26"/>
  <c r="A8" i="26"/>
  <c r="H7" i="26"/>
  <c r="A7" i="26"/>
  <c r="H6" i="26"/>
  <c r="A6" i="26"/>
  <c r="H5" i="26"/>
  <c r="E5" i="26"/>
  <c r="D5" i="26"/>
  <c r="C5" i="26"/>
  <c r="B5" i="26"/>
  <c r="A5" i="26"/>
  <c r="H4" i="26"/>
  <c r="G4" i="26"/>
  <c r="F4" i="26"/>
  <c r="E4" i="26"/>
  <c r="D4" i="26"/>
  <c r="C4" i="26"/>
  <c r="B4" i="26"/>
  <c r="A4" i="26"/>
  <c r="F3" i="26"/>
  <c r="E3" i="26"/>
  <c r="D3" i="26"/>
  <c r="A3" i="26"/>
  <c r="H1" i="26"/>
  <c r="F1" i="26"/>
  <c r="H78" i="26" l="1"/>
  <c r="D27" i="5" l="1"/>
  <c r="D16" i="5"/>
  <c r="D17" i="5"/>
  <c r="D18" i="5"/>
  <c r="D19" i="5"/>
  <c r="D20" i="5"/>
  <c r="D21" i="5"/>
  <c r="D22" i="5"/>
  <c r="D23" i="5"/>
  <c r="D24" i="5"/>
  <c r="D25" i="5"/>
  <c r="D26" i="5"/>
  <c r="D15" i="5"/>
  <c r="D29" i="5" l="1"/>
  <c r="D63" i="26"/>
  <c r="H11" i="29"/>
  <c r="O11" i="29" s="1"/>
  <c r="D65" i="26"/>
  <c r="H13" i="29"/>
  <c r="O13" i="29" s="1"/>
  <c r="D64" i="26"/>
  <c r="H12" i="29"/>
  <c r="O12" i="29" s="1"/>
  <c r="D62" i="26"/>
  <c r="H10" i="29"/>
  <c r="O10" i="29" s="1"/>
  <c r="D69" i="26"/>
  <c r="H17" i="29"/>
  <c r="O17" i="29" s="1"/>
  <c r="D68" i="26"/>
  <c r="H16" i="29"/>
  <c r="O16" i="29" s="1"/>
  <c r="D60" i="26"/>
  <c r="H8" i="29"/>
  <c r="O8" i="29" s="1"/>
  <c r="D57" i="26"/>
  <c r="H5" i="29"/>
  <c r="O5" i="29" s="1"/>
  <c r="D61" i="26"/>
  <c r="H9" i="29"/>
  <c r="O9" i="29" s="1"/>
  <c r="D67" i="26"/>
  <c r="H15" i="29"/>
  <c r="O15" i="29" s="1"/>
  <c r="D59" i="26"/>
  <c r="H7" i="29"/>
  <c r="O7" i="29" s="1"/>
  <c r="D66" i="26"/>
  <c r="H14" i="29"/>
  <c r="O14" i="29" s="1"/>
  <c r="D58" i="26"/>
  <c r="H6" i="29"/>
  <c r="O6" i="29" s="1"/>
  <c r="E42" i="8"/>
  <c r="G42" i="8"/>
  <c r="G49" i="8"/>
  <c r="E49" i="8"/>
  <c r="L5" i="29" l="1"/>
  <c r="J5" i="29"/>
  <c r="L10" i="29"/>
  <c r="J10" i="29"/>
  <c r="L7" i="29"/>
  <c r="J7" i="29"/>
  <c r="J12" i="29"/>
  <c r="L12" i="29"/>
  <c r="L15" i="29"/>
  <c r="J15" i="29"/>
  <c r="J17" i="29"/>
  <c r="L17" i="29"/>
  <c r="J14" i="29"/>
  <c r="L14" i="29"/>
  <c r="L8" i="29"/>
  <c r="J8" i="29"/>
  <c r="L16" i="29"/>
  <c r="J16" i="29"/>
  <c r="J13" i="29"/>
  <c r="L13" i="29"/>
  <c r="L6" i="29"/>
  <c r="J6" i="29"/>
  <c r="L9" i="29"/>
  <c r="J9" i="29"/>
  <c r="J11" i="29"/>
  <c r="L11" i="29"/>
  <c r="H1" i="25"/>
  <c r="G18" i="25" l="1"/>
  <c r="F19" i="26" s="1"/>
  <c r="D4" i="10" l="1"/>
  <c r="D5" i="10"/>
  <c r="D6" i="10"/>
  <c r="D7" i="10"/>
  <c r="D8" i="10"/>
  <c r="D9" i="10"/>
  <c r="D10" i="10"/>
  <c r="D11" i="10"/>
  <c r="D12" i="10"/>
  <c r="D13" i="10"/>
  <c r="D14" i="10"/>
  <c r="D15" i="10"/>
  <c r="D16" i="10"/>
  <c r="D17" i="10"/>
  <c r="F5" i="10"/>
  <c r="F6" i="10"/>
  <c r="F7" i="10"/>
  <c r="F8" i="10"/>
  <c r="F9" i="10"/>
  <c r="F10" i="10"/>
  <c r="F11" i="10"/>
  <c r="F12" i="10"/>
  <c r="F13" i="10"/>
  <c r="F14" i="10"/>
  <c r="F15" i="10"/>
  <c r="F16" i="10"/>
  <c r="F17" i="10"/>
  <c r="F4" i="10"/>
  <c r="C5" i="10"/>
  <c r="C6" i="10"/>
  <c r="C7" i="10"/>
  <c r="C8" i="10"/>
  <c r="C9" i="10"/>
  <c r="C10" i="10"/>
  <c r="C11" i="10"/>
  <c r="C12" i="10"/>
  <c r="C13" i="10"/>
  <c r="C14" i="10"/>
  <c r="C15" i="10"/>
  <c r="C16" i="10"/>
  <c r="C17" i="10"/>
  <c r="C4" i="10"/>
  <c r="A5" i="10"/>
  <c r="A6" i="10"/>
  <c r="A7" i="10"/>
  <c r="A8" i="10"/>
  <c r="A9" i="10"/>
  <c r="A10" i="10"/>
  <c r="A11" i="10"/>
  <c r="A12" i="10"/>
  <c r="A13" i="10"/>
  <c r="A14" i="10"/>
  <c r="A15" i="10"/>
  <c r="A16" i="10"/>
  <c r="A17" i="10"/>
  <c r="A4" i="10"/>
  <c r="H49" i="25" l="1"/>
  <c r="H17" i="25"/>
  <c r="G14" i="25"/>
  <c r="D101" i="24" l="1"/>
  <c r="H98" i="29"/>
  <c r="O98" i="29" s="1"/>
  <c r="H18" i="25"/>
  <c r="D92" i="24" s="1"/>
  <c r="J98" i="29" l="1"/>
  <c r="L98" i="29"/>
  <c r="H4" i="5"/>
  <c r="C7" i="5" l="1"/>
  <c r="H8" i="5" l="1"/>
  <c r="I7" i="5"/>
  <c r="G18" i="5" l="1"/>
  <c r="I18" i="5" s="1"/>
  <c r="G22" i="5"/>
  <c r="I22" i="5" s="1"/>
  <c r="G26" i="5"/>
  <c r="I26" i="5" s="1"/>
  <c r="G20" i="5"/>
  <c r="I20" i="5" s="1"/>
  <c r="G16" i="5"/>
  <c r="I16" i="5" s="1"/>
  <c r="G17" i="5"/>
  <c r="I17" i="5" s="1"/>
  <c r="G25" i="5"/>
  <c r="I25" i="5" s="1"/>
  <c r="G19" i="5"/>
  <c r="I19" i="5" s="1"/>
  <c r="G23" i="5"/>
  <c r="I23" i="5" s="1"/>
  <c r="G27" i="5"/>
  <c r="I27" i="5" s="1"/>
  <c r="G24" i="5"/>
  <c r="I24" i="5" s="1"/>
  <c r="G21" i="5"/>
  <c r="I21" i="5" s="1"/>
  <c r="H69" i="29"/>
  <c r="D80" i="24"/>
  <c r="J69" i="29" l="1"/>
  <c r="L69" i="29"/>
  <c r="D90" i="24"/>
  <c r="E90" i="24"/>
  <c r="F90" i="24"/>
  <c r="D85" i="24"/>
  <c r="E85" i="24"/>
  <c r="F85" i="24"/>
  <c r="D79" i="24"/>
  <c r="E79" i="24"/>
  <c r="F79" i="24"/>
  <c r="D64" i="24"/>
  <c r="E64" i="24"/>
  <c r="F64" i="24"/>
  <c r="D56" i="24"/>
  <c r="E56" i="24"/>
  <c r="F56" i="24"/>
  <c r="D44" i="24"/>
  <c r="E44" i="24"/>
  <c r="F44" i="24"/>
  <c r="D21" i="24"/>
  <c r="E21" i="24"/>
  <c r="F21" i="24"/>
  <c r="G10" i="8"/>
  <c r="F10" i="8"/>
  <c r="E10" i="8"/>
  <c r="K10" i="8"/>
  <c r="K27" i="8"/>
  <c r="K42" i="8"/>
  <c r="F1" i="24" l="1"/>
  <c r="D1" i="24"/>
  <c r="D68" i="24" l="1"/>
  <c r="F53" i="24"/>
  <c r="E53" i="24"/>
  <c r="F54" i="24"/>
  <c r="E54" i="24"/>
  <c r="E68" i="24" l="1"/>
  <c r="F68" i="24"/>
  <c r="F75" i="24"/>
  <c r="E75" i="24"/>
  <c r="F1" i="10" l="1"/>
  <c r="K1" i="8"/>
  <c r="B3" i="8" s="1"/>
  <c r="G1" i="8"/>
  <c r="E51" i="24" l="1"/>
  <c r="F51" i="24" s="1"/>
  <c r="E83" i="5" l="1"/>
  <c r="F73" i="24" l="1"/>
  <c r="E73" i="24"/>
  <c r="F71" i="24"/>
  <c r="E71" i="24"/>
  <c r="F74" i="24"/>
  <c r="E74" i="24"/>
  <c r="F72" i="24"/>
  <c r="E72" i="24"/>
  <c r="D77" i="24"/>
  <c r="E77" i="24" l="1"/>
  <c r="F77" i="24"/>
  <c r="E91" i="24" l="1"/>
  <c r="F91" i="24"/>
  <c r="E46" i="24" l="1"/>
  <c r="E21" i="8" l="1"/>
  <c r="I39" i="5"/>
  <c r="I36" i="5"/>
  <c r="I37" i="5"/>
  <c r="I38" i="5"/>
  <c r="D9" i="24"/>
  <c r="D10" i="24"/>
  <c r="D11" i="24"/>
  <c r="D12" i="24"/>
  <c r="D13" i="24"/>
  <c r="D14" i="24"/>
  <c r="D15" i="24"/>
  <c r="D16" i="24"/>
  <c r="D17" i="24"/>
  <c r="D18" i="24"/>
  <c r="D19" i="24"/>
  <c r="E19" i="8"/>
  <c r="E20" i="8"/>
  <c r="B48" i="8"/>
  <c r="C46" i="8"/>
  <c r="C47" i="8" s="1"/>
  <c r="D46" i="8"/>
  <c r="D47" i="8" s="1"/>
  <c r="D48" i="8" s="1"/>
  <c r="B41" i="8"/>
  <c r="B31" i="8" s="1"/>
  <c r="C33" i="8"/>
  <c r="D33" i="8"/>
  <c r="B26" i="8"/>
  <c r="B22" i="8"/>
  <c r="A22" i="8"/>
  <c r="B21" i="8"/>
  <c r="A21" i="8"/>
  <c r="C20" i="8"/>
  <c r="C21" i="8" s="1"/>
  <c r="C22" i="8" s="1"/>
  <c r="C23" i="8" s="1"/>
  <c r="B20" i="8"/>
  <c r="A20" i="8"/>
  <c r="D19" i="8"/>
  <c r="D20" i="8" s="1"/>
  <c r="B19" i="8"/>
  <c r="A19" i="8"/>
  <c r="K17" i="8"/>
  <c r="E17" i="8"/>
  <c r="B16" i="8"/>
  <c r="C15" i="8"/>
  <c r="I15" i="8" s="1"/>
  <c r="I14" i="8"/>
  <c r="F14" i="8"/>
  <c r="D14" i="8"/>
  <c r="D15" i="8" s="1"/>
  <c r="D16" i="8" s="1"/>
  <c r="I13" i="8"/>
  <c r="D13" i="8"/>
  <c r="F13" i="8" s="1"/>
  <c r="G17" i="8" s="1"/>
  <c r="I12" i="8"/>
  <c r="D12" i="8"/>
  <c r="F12" i="8" s="1"/>
  <c r="I9" i="8"/>
  <c r="I7" i="8"/>
  <c r="I41" i="5"/>
  <c r="I40" i="5"/>
  <c r="B44" i="8" l="1"/>
  <c r="B47" i="8"/>
  <c r="B46" i="8" s="1"/>
  <c r="B45" i="8" s="1"/>
  <c r="B40" i="8"/>
  <c r="B39" i="8" s="1"/>
  <c r="B38" i="8" s="1"/>
  <c r="B37" i="8" s="1"/>
  <c r="B36" i="8" s="1"/>
  <c r="B35" i="8" s="1"/>
  <c r="B34" i="8" s="1"/>
  <c r="B33" i="8" s="1"/>
  <c r="B32" i="8" s="1"/>
  <c r="D34" i="8"/>
  <c r="D35" i="8" s="1"/>
  <c r="D36" i="8" s="1"/>
  <c r="D37" i="8" s="1"/>
  <c r="D38" i="8" s="1"/>
  <c r="D39" i="8" s="1"/>
  <c r="C34" i="8"/>
  <c r="C35" i="8" s="1"/>
  <c r="C36" i="8" s="1"/>
  <c r="C37" i="8" s="1"/>
  <c r="C38" i="8" s="1"/>
  <c r="F15" i="24"/>
  <c r="E10" i="24"/>
  <c r="D8" i="24"/>
  <c r="D31" i="5"/>
  <c r="I64" i="5" s="1"/>
  <c r="D30" i="5"/>
  <c r="E27" i="8"/>
  <c r="E51" i="8" s="1"/>
  <c r="E12" i="24"/>
  <c r="F12" i="24"/>
  <c r="E19" i="24"/>
  <c r="F19" i="24"/>
  <c r="E11" i="24"/>
  <c r="F11" i="24"/>
  <c r="E17" i="24"/>
  <c r="F17" i="24"/>
  <c r="E13" i="24"/>
  <c r="F13" i="24"/>
  <c r="E9" i="24"/>
  <c r="F9" i="24"/>
  <c r="E16" i="24"/>
  <c r="F16" i="24"/>
  <c r="E15" i="24"/>
  <c r="E18" i="24"/>
  <c r="F18" i="24"/>
  <c r="E14" i="24"/>
  <c r="F14" i="24"/>
  <c r="F10" i="24"/>
  <c r="I10" i="8"/>
  <c r="D7" i="24"/>
  <c r="F47" i="8"/>
  <c r="I20" i="8"/>
  <c r="F20" i="5"/>
  <c r="I21" i="8"/>
  <c r="I19" i="8"/>
  <c r="F22" i="8"/>
  <c r="F21" i="8"/>
  <c r="K52" i="8"/>
  <c r="K56" i="8" s="1"/>
  <c r="H34" i="25" s="1"/>
  <c r="I42" i="5"/>
  <c r="H45" i="29" s="1"/>
  <c r="O45" i="29" s="1"/>
  <c r="F19" i="5"/>
  <c r="F25" i="5"/>
  <c r="F23" i="5"/>
  <c r="F24" i="5"/>
  <c r="F16" i="5"/>
  <c r="F22" i="5"/>
  <c r="F18" i="5"/>
  <c r="F27" i="5"/>
  <c r="F17" i="5"/>
  <c r="F21" i="5"/>
  <c r="C48" i="8"/>
  <c r="F20" i="8"/>
  <c r="D21" i="8"/>
  <c r="D22" i="8" s="1"/>
  <c r="D23" i="8" s="1"/>
  <c r="D24" i="8" s="1"/>
  <c r="D25" i="8" s="1"/>
  <c r="D26" i="8" s="1"/>
  <c r="C24" i="8"/>
  <c r="F23" i="8"/>
  <c r="I23" i="8"/>
  <c r="F19" i="8"/>
  <c r="C16" i="8"/>
  <c r="F15" i="8"/>
  <c r="F26" i="5"/>
  <c r="I22" i="8"/>
  <c r="I63" i="5" l="1"/>
  <c r="H106" i="29" s="1"/>
  <c r="H27" i="25"/>
  <c r="H21" i="29"/>
  <c r="O21" i="29" s="1"/>
  <c r="I58" i="5"/>
  <c r="L45" i="29"/>
  <c r="J45" i="29"/>
  <c r="D70" i="26"/>
  <c r="H20" i="29"/>
  <c r="O20" i="29" s="1"/>
  <c r="H3" i="25"/>
  <c r="H19" i="29"/>
  <c r="O19" i="29" s="1"/>
  <c r="C39" i="8"/>
  <c r="C40" i="8" s="1"/>
  <c r="I40" i="8" s="1"/>
  <c r="I38" i="8"/>
  <c r="D40" i="8"/>
  <c r="D41" i="8" s="1"/>
  <c r="F38" i="8"/>
  <c r="F37" i="8"/>
  <c r="I37" i="8"/>
  <c r="F46" i="24"/>
  <c r="E8" i="24"/>
  <c r="F8" i="24"/>
  <c r="I62" i="5"/>
  <c r="F31" i="5"/>
  <c r="H18" i="29" s="1"/>
  <c r="O18" i="29" s="1"/>
  <c r="E7" i="24"/>
  <c r="F7" i="24"/>
  <c r="I47" i="8"/>
  <c r="K54" i="8"/>
  <c r="I24" i="8"/>
  <c r="F24" i="8"/>
  <c r="C25" i="8"/>
  <c r="I16" i="8"/>
  <c r="I17" i="8" s="1"/>
  <c r="F16" i="8"/>
  <c r="F17" i="8" s="1"/>
  <c r="F48" i="8"/>
  <c r="I48" i="8"/>
  <c r="F36" i="8"/>
  <c r="I36" i="8"/>
  <c r="L21" i="29" l="1"/>
  <c r="H28" i="25"/>
  <c r="H24" i="26" s="1"/>
  <c r="G3" i="25"/>
  <c r="G3" i="26" s="1"/>
  <c r="L106" i="29"/>
  <c r="J106" i="29"/>
  <c r="H37" i="25"/>
  <c r="H32" i="26" s="1"/>
  <c r="H105" i="29"/>
  <c r="H70" i="29"/>
  <c r="O70" i="29" s="1"/>
  <c r="H102" i="29"/>
  <c r="H103" i="29"/>
  <c r="H21" i="25"/>
  <c r="J21" i="29"/>
  <c r="L18" i="29"/>
  <c r="J18" i="29"/>
  <c r="J20" i="29"/>
  <c r="L20" i="29"/>
  <c r="J19" i="29"/>
  <c r="L19" i="29"/>
  <c r="H3" i="26"/>
  <c r="C41" i="8"/>
  <c r="F41" i="8" s="1"/>
  <c r="F39" i="8"/>
  <c r="I39" i="8"/>
  <c r="F40" i="8"/>
  <c r="F34" i="8"/>
  <c r="I34" i="8"/>
  <c r="I46" i="8"/>
  <c r="F46" i="8"/>
  <c r="F40" i="24"/>
  <c r="E40" i="24"/>
  <c r="E6" i="24"/>
  <c r="F6" i="24"/>
  <c r="E5" i="24"/>
  <c r="F5" i="24"/>
  <c r="F80" i="24"/>
  <c r="E80" i="24"/>
  <c r="I35" i="8"/>
  <c r="F35" i="8"/>
  <c r="F45" i="8"/>
  <c r="I45" i="8"/>
  <c r="I25" i="8"/>
  <c r="C26" i="8"/>
  <c r="F25" i="8"/>
  <c r="I41" i="8"/>
  <c r="F60" i="25" l="1"/>
  <c r="H60" i="25" s="1"/>
  <c r="F64" i="25"/>
  <c r="H64" i="25" s="1"/>
  <c r="F68" i="25"/>
  <c r="H68" i="25" s="1"/>
  <c r="F62" i="25"/>
  <c r="H62" i="25" s="1"/>
  <c r="F56" i="25"/>
  <c r="H56" i="25" s="1"/>
  <c r="F59" i="25"/>
  <c r="H59" i="25" s="1"/>
  <c r="F63" i="25"/>
  <c r="H63" i="25" s="1"/>
  <c r="F67" i="25"/>
  <c r="H67" i="25" s="1"/>
  <c r="F57" i="25"/>
  <c r="H57" i="25" s="1"/>
  <c r="F61" i="25"/>
  <c r="H61" i="25" s="1"/>
  <c r="F65" i="25"/>
  <c r="H65" i="25" s="1"/>
  <c r="F69" i="25"/>
  <c r="H69" i="25" s="1"/>
  <c r="F58" i="25"/>
  <c r="H58" i="25" s="1"/>
  <c r="F66" i="25"/>
  <c r="H66" i="25" s="1"/>
  <c r="L70" i="29"/>
  <c r="L102" i="29"/>
  <c r="J102" i="29"/>
  <c r="J70" i="29"/>
  <c r="L103" i="29"/>
  <c r="J103" i="29"/>
  <c r="L105" i="29"/>
  <c r="J105" i="29"/>
  <c r="F97" i="24"/>
  <c r="E97" i="24"/>
  <c r="F99" i="24"/>
  <c r="E99" i="24"/>
  <c r="F95" i="24"/>
  <c r="E95" i="24"/>
  <c r="E101" i="24"/>
  <c r="F101" i="24"/>
  <c r="E100" i="24"/>
  <c r="F100" i="24"/>
  <c r="F96" i="24"/>
  <c r="E96" i="24"/>
  <c r="F94" i="24"/>
  <c r="E94" i="24"/>
  <c r="I31" i="5"/>
  <c r="I32" i="5" s="1"/>
  <c r="H44" i="29" s="1"/>
  <c r="O44" i="29" s="1"/>
  <c r="F81" i="24"/>
  <c r="E81" i="24"/>
  <c r="F49" i="8"/>
  <c r="I49" i="8"/>
  <c r="F26" i="8"/>
  <c r="F27" i="8" s="1"/>
  <c r="I26" i="8"/>
  <c r="I27" i="8" s="1"/>
  <c r="G26" i="8"/>
  <c r="G27" i="8" s="1"/>
  <c r="G53" i="8" s="1"/>
  <c r="D41" i="26" l="1"/>
  <c r="D42" i="26"/>
  <c r="D49" i="26"/>
  <c r="D43" i="26"/>
  <c r="D46" i="26"/>
  <c r="D51" i="26"/>
  <c r="D48" i="26"/>
  <c r="D45" i="26"/>
  <c r="D50" i="26"/>
  <c r="D44" i="26"/>
  <c r="D47" i="26"/>
  <c r="H46" i="29"/>
  <c r="O46" i="29" s="1"/>
  <c r="L44" i="29"/>
  <c r="J44" i="29"/>
  <c r="E54" i="26"/>
  <c r="D54" i="26"/>
  <c r="H49" i="26"/>
  <c r="E52" i="26"/>
  <c r="D52" i="26"/>
  <c r="E53" i="26"/>
  <c r="D53" i="26"/>
  <c r="H46" i="26"/>
  <c r="H42" i="26"/>
  <c r="H48" i="26"/>
  <c r="H45" i="26"/>
  <c r="H54" i="26"/>
  <c r="H47" i="26"/>
  <c r="H53" i="26"/>
  <c r="H52" i="26"/>
  <c r="H50" i="26"/>
  <c r="H43" i="26"/>
  <c r="H51" i="26"/>
  <c r="H41" i="26"/>
  <c r="H44" i="26"/>
  <c r="F71" i="25"/>
  <c r="I44" i="5"/>
  <c r="F33" i="8"/>
  <c r="I33" i="8"/>
  <c r="F49" i="5" l="1"/>
  <c r="F50" i="5"/>
  <c r="F51" i="5"/>
  <c r="L46" i="29"/>
  <c r="J46" i="29"/>
  <c r="H55" i="26"/>
  <c r="G73" i="25"/>
  <c r="H40" i="29" s="1"/>
  <c r="E45" i="24"/>
  <c r="F45" i="24"/>
  <c r="F86" i="5"/>
  <c r="F32" i="8"/>
  <c r="I32" i="8"/>
  <c r="H41" i="29" l="1"/>
  <c r="O41" i="29" s="1"/>
  <c r="O40" i="29"/>
  <c r="L40" i="29"/>
  <c r="J40" i="29"/>
  <c r="F70" i="26"/>
  <c r="H70" i="26" s="1"/>
  <c r="H71" i="25"/>
  <c r="F36" i="10" s="1"/>
  <c r="E47" i="24"/>
  <c r="F47" i="24"/>
  <c r="I42" i="8"/>
  <c r="I52" i="8" s="1"/>
  <c r="I56" i="8" s="1"/>
  <c r="H36" i="25" s="1"/>
  <c r="F42" i="8"/>
  <c r="F52" i="8" s="1"/>
  <c r="F54" i="8" s="1"/>
  <c r="J41" i="29" l="1"/>
  <c r="L41" i="29"/>
  <c r="D39" i="24"/>
  <c r="F39" i="24" s="1"/>
  <c r="F56" i="8"/>
  <c r="H33" i="25" s="1"/>
  <c r="H94" i="29" s="1"/>
  <c r="O94" i="29" s="1"/>
  <c r="I54" i="8"/>
  <c r="H127" i="29" l="1"/>
  <c r="L127" i="29" s="1"/>
  <c r="J94" i="29"/>
  <c r="L94" i="29"/>
  <c r="H99" i="29"/>
  <c r="E39" i="24"/>
  <c r="B56" i="8"/>
  <c r="J127" i="29" l="1"/>
  <c r="J99" i="29"/>
  <c r="L99" i="29"/>
  <c r="J72" i="29" l="1"/>
  <c r="E98" i="24"/>
  <c r="F98" i="24"/>
  <c r="F92" i="24" l="1"/>
  <c r="E92" i="24"/>
  <c r="H48" i="29" l="1"/>
  <c r="O48" i="29" s="1"/>
  <c r="L48" i="29" l="1"/>
  <c r="J48" i="29"/>
  <c r="E49" i="24"/>
  <c r="F49" i="24" s="1"/>
  <c r="H49" i="29"/>
  <c r="O49" i="29" s="1"/>
  <c r="L49" i="29" l="1"/>
  <c r="J49" i="29"/>
  <c r="E50" i="24"/>
  <c r="F50" i="24" s="1"/>
  <c r="H12" i="26" l="1"/>
  <c r="D66" i="24"/>
  <c r="H11" i="26"/>
  <c r="I83" i="5"/>
  <c r="I84" i="5" s="1"/>
  <c r="H13" i="26"/>
  <c r="D67" i="24"/>
  <c r="E67" i="24" l="1"/>
  <c r="F67" i="24"/>
  <c r="H75" i="29"/>
  <c r="O75" i="29" s="1"/>
  <c r="H18" i="26"/>
  <c r="H47" i="29"/>
  <c r="G79" i="5"/>
  <c r="G78" i="5"/>
  <c r="G77" i="5"/>
  <c r="F84" i="5"/>
  <c r="F88" i="5" s="1"/>
  <c r="E66" i="24"/>
  <c r="F66" i="24"/>
  <c r="H51" i="29" l="1"/>
  <c r="O51" i="29" s="1"/>
  <c r="O47" i="29"/>
  <c r="H56" i="29"/>
  <c r="O56" i="29" s="1"/>
  <c r="D59" i="24"/>
  <c r="I50" i="5"/>
  <c r="H55" i="29"/>
  <c r="O55" i="29" s="1"/>
  <c r="D58" i="24"/>
  <c r="H58" i="29"/>
  <c r="O58" i="29" s="1"/>
  <c r="H59" i="29"/>
  <c r="O59" i="29" s="1"/>
  <c r="L47" i="29"/>
  <c r="J47" i="29"/>
  <c r="E48" i="24"/>
  <c r="F48" i="24" s="1"/>
  <c r="D65" i="24"/>
  <c r="H19" i="26"/>
  <c r="H76" i="29" l="1"/>
  <c r="O76" i="29" s="1"/>
  <c r="J51" i="29"/>
  <c r="L51" i="29"/>
  <c r="J55" i="29"/>
  <c r="L55" i="29"/>
  <c r="I49" i="5"/>
  <c r="D60" i="24"/>
  <c r="H57" i="29"/>
  <c r="O57" i="29" s="1"/>
  <c r="I51" i="5"/>
  <c r="F59" i="24"/>
  <c r="E59" i="24"/>
  <c r="F58" i="24"/>
  <c r="E58" i="24"/>
  <c r="J56" i="29"/>
  <c r="L56" i="29"/>
  <c r="H104" i="29"/>
  <c r="J59" i="29"/>
  <c r="L59" i="29"/>
  <c r="J58" i="29"/>
  <c r="L58" i="29"/>
  <c r="F65" i="24"/>
  <c r="E65" i="24"/>
  <c r="D61" i="24"/>
  <c r="E52" i="24"/>
  <c r="F52" i="24"/>
  <c r="D62" i="24"/>
  <c r="D87" i="24"/>
  <c r="L57" i="29" l="1"/>
  <c r="J57" i="29"/>
  <c r="I52" i="5"/>
  <c r="I54" i="5" s="1"/>
  <c r="I55" i="5" s="1"/>
  <c r="F60" i="24"/>
  <c r="E60" i="24"/>
  <c r="F55" i="5"/>
  <c r="L104" i="29"/>
  <c r="J104" i="29"/>
  <c r="E87" i="24"/>
  <c r="F87" i="24"/>
  <c r="E62" i="24"/>
  <c r="F62" i="24"/>
  <c r="F61" i="24"/>
  <c r="E61" i="24"/>
  <c r="I60" i="5" l="1"/>
  <c r="H23" i="25" s="1"/>
  <c r="H22" i="26" s="1"/>
  <c r="I59" i="5"/>
  <c r="H66" i="29"/>
  <c r="O66" i="29" s="1"/>
  <c r="D69" i="24"/>
  <c r="H71" i="29"/>
  <c r="O71" i="29" s="1"/>
  <c r="D82" i="24"/>
  <c r="I61" i="5"/>
  <c r="H19" i="25" s="1"/>
  <c r="I86" i="5"/>
  <c r="I88" i="5" s="1"/>
  <c r="G70" i="5"/>
  <c r="L72" i="29"/>
  <c r="J75" i="29"/>
  <c r="J76" i="29"/>
  <c r="L75" i="29"/>
  <c r="L76" i="29"/>
  <c r="I68" i="5" l="1"/>
  <c r="G71" i="5" s="1"/>
  <c r="B23" i="10" s="1"/>
  <c r="G90" i="5"/>
  <c r="G91" i="5"/>
  <c r="F69" i="24"/>
  <c r="E69" i="24"/>
  <c r="H20" i="26"/>
  <c r="J66" i="29"/>
  <c r="L66" i="29"/>
  <c r="E82" i="24"/>
  <c r="F82" i="24"/>
  <c r="H24" i="25"/>
  <c r="H23" i="26" s="1"/>
  <c r="I65" i="5"/>
  <c r="J71" i="29"/>
  <c r="H101" i="29"/>
  <c r="L71" i="29"/>
  <c r="B31" i="10" l="1"/>
  <c r="F66" i="26" s="1"/>
  <c r="H66" i="26" s="1"/>
  <c r="H26" i="29"/>
  <c r="O26" i="29" s="1"/>
  <c r="H35" i="29"/>
  <c r="O35" i="29" s="1"/>
  <c r="H36" i="29"/>
  <c r="O36" i="29" s="1"/>
  <c r="H32" i="29"/>
  <c r="O32" i="29" s="1"/>
  <c r="B33" i="10"/>
  <c r="F68" i="26" s="1"/>
  <c r="H68" i="26" s="1"/>
  <c r="B24" i="10"/>
  <c r="F59" i="26" s="1"/>
  <c r="H59" i="26" s="1"/>
  <c r="B34" i="10"/>
  <c r="D34" i="10" s="1"/>
  <c r="H30" i="29"/>
  <c r="B26" i="10"/>
  <c r="F61" i="26" s="1"/>
  <c r="H61" i="26" s="1"/>
  <c r="H34" i="29"/>
  <c r="D22" i="24"/>
  <c r="F22" i="24" s="1"/>
  <c r="H29" i="29"/>
  <c r="B30" i="10"/>
  <c r="D30" i="10" s="1"/>
  <c r="B27" i="10"/>
  <c r="D27" i="10" s="1"/>
  <c r="B29" i="10"/>
  <c r="D29" i="10" s="1"/>
  <c r="B22" i="10"/>
  <c r="D22" i="10" s="1"/>
  <c r="B25" i="10"/>
  <c r="D25" i="10" s="1"/>
  <c r="H27" i="29"/>
  <c r="H28" i="29"/>
  <c r="O28" i="29" s="1"/>
  <c r="H33" i="29"/>
  <c r="O33" i="29" s="1"/>
  <c r="H37" i="29"/>
  <c r="D23" i="24"/>
  <c r="E23" i="24" s="1"/>
  <c r="H31" i="29"/>
  <c r="B28" i="10"/>
  <c r="F63" i="26" s="1"/>
  <c r="H63" i="26" s="1"/>
  <c r="H25" i="29"/>
  <c r="B32" i="10"/>
  <c r="D32" i="10" s="1"/>
  <c r="H36" i="26"/>
  <c r="H81" i="26" s="1"/>
  <c r="H41" i="25"/>
  <c r="H50" i="25" s="1"/>
  <c r="H52" i="25" s="1"/>
  <c r="D33" i="10"/>
  <c r="J34" i="29"/>
  <c r="L36" i="29"/>
  <c r="J101" i="29"/>
  <c r="L101" i="29"/>
  <c r="H107" i="29"/>
  <c r="F58" i="26"/>
  <c r="H58" i="26" s="1"/>
  <c r="E23" i="10"/>
  <c r="D23" i="10" s="1"/>
  <c r="F26" i="10"/>
  <c r="H26" i="10" s="1"/>
  <c r="F27" i="10"/>
  <c r="H27" i="10" s="1"/>
  <c r="F23" i="10"/>
  <c r="F29" i="10"/>
  <c r="H29" i="10" s="1"/>
  <c r="F25" i="10"/>
  <c r="H25" i="10" s="1"/>
  <c r="D37" i="24"/>
  <c r="F34" i="10"/>
  <c r="F30" i="10"/>
  <c r="H30" i="10" s="1"/>
  <c r="F32" i="10"/>
  <c r="H32" i="10" s="1"/>
  <c r="F22" i="10"/>
  <c r="F31" i="10"/>
  <c r="H31" i="10" s="1"/>
  <c r="H38" i="29"/>
  <c r="O38" i="29" s="1"/>
  <c r="F24" i="10"/>
  <c r="F33" i="10"/>
  <c r="F28" i="10"/>
  <c r="H28" i="10" s="1"/>
  <c r="E25" i="24"/>
  <c r="D86" i="24"/>
  <c r="H74" i="29"/>
  <c r="O74" i="29" s="1"/>
  <c r="F131" i="29"/>
  <c r="D31" i="10" l="1"/>
  <c r="E35" i="24"/>
  <c r="L26" i="29"/>
  <c r="J26" i="29"/>
  <c r="F25" i="24"/>
  <c r="F35" i="24"/>
  <c r="F31" i="24"/>
  <c r="E31" i="24"/>
  <c r="L35" i="29"/>
  <c r="E24" i="10"/>
  <c r="D24" i="10" s="1"/>
  <c r="F34" i="24"/>
  <c r="E34" i="24"/>
  <c r="J35" i="29"/>
  <c r="J36" i="29"/>
  <c r="D26" i="10"/>
  <c r="J32" i="29"/>
  <c r="L32" i="29"/>
  <c r="F28" i="24"/>
  <c r="O29" i="29"/>
  <c r="J30" i="29"/>
  <c r="O30" i="29"/>
  <c r="J37" i="29"/>
  <c r="O37" i="29"/>
  <c r="E30" i="24"/>
  <c r="O31" i="29"/>
  <c r="F24" i="24"/>
  <c r="O25" i="29"/>
  <c r="E26" i="24"/>
  <c r="O27" i="29"/>
  <c r="L34" i="29"/>
  <c r="O34" i="29"/>
  <c r="L37" i="29"/>
  <c r="F60" i="26"/>
  <c r="H60" i="26" s="1"/>
  <c r="L25" i="29"/>
  <c r="F65" i="26"/>
  <c r="H65" i="26" s="1"/>
  <c r="J25" i="29"/>
  <c r="J28" i="29"/>
  <c r="L30" i="29"/>
  <c r="E29" i="24"/>
  <c r="F69" i="26"/>
  <c r="H69" i="26" s="1"/>
  <c r="F29" i="24"/>
  <c r="L33" i="29"/>
  <c r="E22" i="24"/>
  <c r="E28" i="24"/>
  <c r="E24" i="24"/>
  <c r="H113" i="29"/>
  <c r="J113" i="29" s="1"/>
  <c r="F33" i="24"/>
  <c r="F62" i="26"/>
  <c r="H62" i="26" s="1"/>
  <c r="E33" i="24"/>
  <c r="L27" i="29"/>
  <c r="F64" i="26"/>
  <c r="H64" i="26" s="1"/>
  <c r="E27" i="24"/>
  <c r="F57" i="26"/>
  <c r="H57" i="26" s="1"/>
  <c r="E32" i="24"/>
  <c r="G75" i="25"/>
  <c r="L28" i="29"/>
  <c r="D28" i="10"/>
  <c r="F32" i="24"/>
  <c r="L29" i="29"/>
  <c r="F27" i="24"/>
  <c r="F67" i="26"/>
  <c r="H67" i="26" s="1"/>
  <c r="L31" i="29"/>
  <c r="J33" i="29"/>
  <c r="J29" i="29"/>
  <c r="J27" i="29"/>
  <c r="F26" i="24"/>
  <c r="F23" i="24"/>
  <c r="J31" i="29"/>
  <c r="F30" i="24"/>
  <c r="H23" i="10"/>
  <c r="F38" i="10"/>
  <c r="F40" i="10" s="1"/>
  <c r="D38" i="24"/>
  <c r="H22" i="10"/>
  <c r="F37" i="24"/>
  <c r="E37" i="24"/>
  <c r="H108" i="29"/>
  <c r="J107" i="29"/>
  <c r="L107" i="29"/>
  <c r="E86" i="24"/>
  <c r="F86" i="24"/>
  <c r="H34" i="10"/>
  <c r="H33" i="10"/>
  <c r="J74" i="29"/>
  <c r="L74" i="29"/>
  <c r="H120" i="29"/>
  <c r="L38" i="29"/>
  <c r="J38" i="29"/>
  <c r="F135" i="29"/>
  <c r="F142" i="29"/>
  <c r="H24" i="10" l="1"/>
  <c r="L113" i="29"/>
  <c r="H71" i="26"/>
  <c r="H82" i="26" s="1"/>
  <c r="H84" i="26" s="1"/>
  <c r="H131" i="29"/>
  <c r="L108" i="29"/>
  <c r="J108" i="29"/>
  <c r="H39" i="29"/>
  <c r="O39" i="29" s="1"/>
  <c r="E38" i="24"/>
  <c r="F38" i="24"/>
  <c r="L120" i="29"/>
  <c r="J120" i="29"/>
  <c r="J39" i="29" l="1"/>
  <c r="L39" i="29"/>
  <c r="H142" i="29"/>
  <c r="J131" i="29"/>
  <c r="H135" i="29"/>
  <c r="L131" i="29"/>
  <c r="J142" i="29" l="1"/>
  <c r="L142" i="29"/>
  <c r="J135" i="29"/>
  <c r="L13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boch</author>
    <author>Bollinger Christian</author>
    <author>Paul Müller</author>
    <author>Paul Müller Surface</author>
  </authors>
  <commentList>
    <comment ref="I1" authorId="0" shapeId="0" xr:uid="{00000000-0006-0000-0000-000001000000}">
      <text>
        <r>
          <rPr>
            <sz val="9"/>
            <color indexed="81"/>
            <rFont val="Arial"/>
            <family val="2"/>
          </rPr>
          <t>Jahr</t>
        </r>
      </text>
    </comment>
    <comment ref="F4" authorId="1" shapeId="0" xr:uid="{00000000-0006-0000-0000-000002000000}">
      <text>
        <r>
          <rPr>
            <b/>
            <sz val="9"/>
            <color indexed="81"/>
            <rFont val="Segoe UI"/>
            <family val="2"/>
          </rPr>
          <t xml:space="preserve">2022
1.1. Neujahr (SA)
2.1. Berchtoldstag (So)
15.4. Karfreitag
18.4. Ostermontag
26.5. Auffahrt
6.6. Pfingstmontag
16.6. Fronleichnam
1.8. Nationalfeiertag
15.8. Maria Himmelfahrt
1.11. Allerheiligen
8.12. Maria Empfängnis
25.12. Weihnachten (So)
26.12. Stefanstag
</t>
        </r>
      </text>
    </comment>
    <comment ref="F5" authorId="2" shapeId="0" xr:uid="{00000000-0006-0000-0000-000003000000}">
      <text>
        <r>
          <rPr>
            <sz val="9"/>
            <color indexed="81"/>
            <rFont val="Arial "/>
          </rPr>
          <t>Für Betriebe welche durch längere Arbeitszeit zusätzliche Freitage gewähren (Ferien oder Frei)</t>
        </r>
        <r>
          <rPr>
            <sz val="9"/>
            <color indexed="81"/>
            <rFont val="Tahoma"/>
            <family val="2"/>
          </rPr>
          <t xml:space="preserve">
Arbeitszeit/Tag muss angepasst werden</t>
        </r>
      </text>
    </comment>
    <comment ref="C28" authorId="3" shapeId="0" xr:uid="{88BAC877-955F-44A7-A80A-8312B55EA242}">
      <text>
        <r>
          <rPr>
            <b/>
            <sz val="9"/>
            <color indexed="81"/>
            <rFont val="Segoe UI"/>
            <family val="2"/>
          </rPr>
          <t>inkl. Reservationstage</t>
        </r>
        <r>
          <rPr>
            <sz val="9"/>
            <color indexed="81"/>
            <rFont val="Segoe UI"/>
            <family val="2"/>
          </rPr>
          <t xml:space="preserve">
</t>
        </r>
      </text>
    </comment>
    <comment ref="F39" authorId="0" shapeId="0" xr:uid="{00000000-0006-0000-0000-000004000000}">
      <text>
        <r>
          <rPr>
            <sz val="9"/>
            <color indexed="81"/>
            <rFont val="Arial"/>
            <family val="2"/>
          </rPr>
          <t>Anwesende Personen pro Nacht</t>
        </r>
      </text>
    </comment>
    <comment ref="G49" authorId="0" shapeId="0" xr:uid="{2A298050-515F-4C08-87C4-A04D2BF25075}">
      <text>
        <r>
          <rPr>
            <sz val="9"/>
            <color indexed="81"/>
            <rFont val="Arial"/>
            <family val="2"/>
          </rPr>
          <t>Durchschnittlicher Lohn /  Fachpersonal teritiäre Ausbildung</t>
        </r>
      </text>
    </comment>
    <comment ref="G50" authorId="0" shapeId="0" xr:uid="{053D5A18-D7E2-4BCA-A109-A92EFC8DAE19}">
      <text>
        <r>
          <rPr>
            <sz val="9"/>
            <color indexed="81"/>
            <rFont val="Arial"/>
            <family val="2"/>
          </rPr>
          <t>Durchschnittlicher Lohn /  Fachpersonal sekundäre Ausbildung</t>
        </r>
      </text>
    </comment>
    <comment ref="G51" authorId="0" shapeId="0" xr:uid="{F31DE141-446F-415F-B8C3-11737EC449EA}">
      <text>
        <r>
          <rPr>
            <sz val="9"/>
            <color indexed="81"/>
            <rFont val="Arial"/>
            <family val="2"/>
          </rPr>
          <t>Durchschnittlicher Lohn /  Assistenzpersonal</t>
        </r>
      </text>
    </comment>
    <comment ref="I53" authorId="0" shapeId="0" xr:uid="{A7DC2A54-B78C-4D1F-BF65-BFA186441B29}">
      <text>
        <r>
          <rPr>
            <sz val="9"/>
            <color indexed="81"/>
            <rFont val="Arial"/>
            <family val="2"/>
          </rPr>
          <t>Nur Lehrlingslöhne durchschnittlich 1300x13</t>
        </r>
      </text>
    </comment>
    <comment ref="E63" authorId="1" shapeId="0" xr:uid="{00000000-0006-0000-0000-000009000000}">
      <text>
        <r>
          <rPr>
            <b/>
            <sz val="9"/>
            <color indexed="81"/>
            <rFont val="Segoe UI"/>
            <family val="2"/>
          </rPr>
          <t>Laufende Kosten EPD und Anteil Aufwendungen zum Betrieb</t>
        </r>
      </text>
    </comment>
    <comment ref="E64" authorId="1" shapeId="0" xr:uid="{00000000-0006-0000-0000-00000A000000}">
      <text>
        <r>
          <rPr>
            <b/>
            <sz val="9"/>
            <color indexed="81"/>
            <rFont val="Segoe UI"/>
            <charset val="1"/>
          </rPr>
          <t>Pauschale pro Bewohner und Jahr: Pflegematerialien für Pflege a)-Produkte.(entspricht ca. 0.41 Rp pro Pflegetag.</t>
        </r>
      </text>
    </comment>
    <comment ref="I77" authorId="0" shapeId="0" xr:uid="{00000000-0006-0000-0000-00000D000000}">
      <text>
        <r>
          <rPr>
            <sz val="9"/>
            <color indexed="81"/>
            <rFont val="Arial"/>
            <family val="2"/>
          </rPr>
          <t>inklusive Zulagen</t>
        </r>
      </text>
    </comment>
    <comment ref="I78" authorId="0" shapeId="0" xr:uid="{00000000-0006-0000-0000-00000E000000}">
      <text>
        <r>
          <rPr>
            <sz val="9"/>
            <color indexed="81"/>
            <rFont val="Arial"/>
            <family val="2"/>
          </rPr>
          <t>inklusive Zulagen</t>
        </r>
      </text>
    </comment>
    <comment ref="I79" authorId="0" shapeId="0" xr:uid="{00000000-0006-0000-0000-00000F000000}">
      <text>
        <r>
          <rPr>
            <b/>
            <sz val="9"/>
            <color indexed="81"/>
            <rFont val="Segoe UI"/>
            <family val="2"/>
          </rPr>
          <t>i</t>
        </r>
        <r>
          <rPr>
            <sz val="9"/>
            <color indexed="81"/>
            <rFont val="Arial"/>
            <family val="2"/>
          </rPr>
          <t>nklusive Zulagen</t>
        </r>
      </text>
    </comment>
    <comment ref="D81" authorId="1" shapeId="0" xr:uid="{A2D772F3-847F-4496-9083-D1C007D37554}">
      <text>
        <r>
          <rPr>
            <b/>
            <sz val="9"/>
            <color indexed="81"/>
            <rFont val="Segoe UI"/>
            <family val="2"/>
          </rPr>
          <t>Lernende, die im Stellenplan nicht berückichtigt sind.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boch</author>
  </authors>
  <commentList>
    <comment ref="I5" authorId="0" shapeId="0" xr:uid="{00000000-0006-0000-0200-000001000000}">
      <text>
        <r>
          <rPr>
            <b/>
            <sz val="9"/>
            <color indexed="81"/>
            <rFont val="Segoe UI"/>
            <family val="2"/>
          </rPr>
          <t>Zins variable Hypothek Zuger Kantonalbank am 1.1. des laufenden Jahres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boch</author>
    <author>Bollinger Christian</author>
  </authors>
  <commentList>
    <comment ref="A27" authorId="0" shapeId="0" xr:uid="{00000000-0006-0000-0100-000001000000}">
      <text>
        <r>
          <rPr>
            <b/>
            <sz val="9"/>
            <color indexed="81"/>
            <rFont val="Segoe UI"/>
            <family val="2"/>
          </rPr>
          <t>Pflegematerial und medizinischer Bedarf, der den KK oder den Bewohnenden separat in Rechnung gestellt werden kann (Pflegeanschaffungen  sind schon pauschal berücksichtigt)
Zu diesen Kosten bestehen Einnahmen!</t>
        </r>
      </text>
    </comment>
    <comment ref="G27" authorId="1" shapeId="0" xr:uid="{00000000-0006-0000-0100-000002000000}">
      <text>
        <r>
          <rPr>
            <b/>
            <sz val="9"/>
            <color indexed="81"/>
            <rFont val="Segoe UI"/>
            <family val="2"/>
          </rPr>
          <t>Ganze Kontogruppe medizinischer Bedarf</t>
        </r>
      </text>
    </comment>
    <comment ref="A44" authorId="0" shapeId="0" xr:uid="{00000000-0006-0000-0100-000003000000}">
      <text>
        <r>
          <rPr>
            <b/>
            <sz val="9"/>
            <color indexed="81"/>
            <rFont val="Segoe UI"/>
            <family val="2"/>
          </rPr>
          <t>Einnahmen aus Leistungen an Bewohnende und Krankenversicherer - inklusive verrechnete Pflegematerialien und medizinische Nebenleistungen</t>
        </r>
      </text>
    </comment>
    <comment ref="H44" authorId="1" shapeId="0" xr:uid="{00000000-0006-0000-0100-000005000000}">
      <text>
        <r>
          <rPr>
            <b/>
            <sz val="9"/>
            <color indexed="81"/>
            <rFont val="Segoe UI"/>
            <family val="2"/>
          </rPr>
          <t>inkl. Einnahmen Pflegematerialien von KK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boch</author>
  </authors>
  <commentList>
    <comment ref="A98" authorId="0" shapeId="0" xr:uid="{00000000-0006-0000-0500-000001000000}">
      <text>
        <r>
          <rPr>
            <b/>
            <sz val="9"/>
            <color indexed="81"/>
            <rFont val="Segoe UI"/>
            <family val="2"/>
          </rPr>
          <t>kalk. Abschreibungen, Miete und Leasing, kalk. Zinsen, Verrechnung Anlageanteil auf Pflege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Bollinger Christian</author>
    <author>Chlösterli</author>
    <author>boch</author>
  </authors>
  <commentList>
    <comment ref="F69" authorId="0" shapeId="0" xr:uid="{00000000-0006-0000-0600-00001A000000}">
      <text>
        <r>
          <rPr>
            <b/>
            <sz val="9"/>
            <color indexed="81"/>
            <rFont val="Segoe UI"/>
            <family val="2"/>
          </rPr>
          <t xml:space="preserve">Taxtool Vorjahr - Ordner Vergleiche / H69
</t>
        </r>
        <r>
          <rPr>
            <sz val="9"/>
            <color indexed="81"/>
            <rFont val="Segoe UI"/>
            <family val="2"/>
          </rPr>
          <t xml:space="preserve">
</t>
        </r>
      </text>
    </comment>
    <comment ref="F72" authorId="0" shapeId="0" xr:uid="{00000000-0006-0000-0600-00001C000000}">
      <text>
        <r>
          <rPr>
            <b/>
            <sz val="9"/>
            <color indexed="81"/>
            <rFont val="Segoe UI"/>
            <family val="2"/>
          </rPr>
          <t>Taxtool Vorjahr / Ordner Vergleich H72</t>
        </r>
      </text>
    </comment>
    <comment ref="F74" authorId="1" shapeId="0" xr:uid="{00000000-0006-0000-0600-00001E000000}">
      <text>
        <r>
          <rPr>
            <b/>
            <sz val="9"/>
            <color indexed="81"/>
            <rFont val="Segoe UI"/>
            <family val="2"/>
          </rPr>
          <t>Taxtool Vorjahr - Ordner Vergleiche / H74</t>
        </r>
      </text>
    </comment>
    <comment ref="F76" authorId="0" shapeId="0" xr:uid="{00000000-0006-0000-0600-000020000000}">
      <text>
        <r>
          <rPr>
            <b/>
            <sz val="9"/>
            <color indexed="81"/>
            <rFont val="Segoe UI"/>
            <family val="2"/>
          </rPr>
          <t xml:space="preserve">Taxtool Vorjahr - Ordner Vergleiche / H76
</t>
        </r>
      </text>
    </comment>
    <comment ref="F78" authorId="0" shapeId="0" xr:uid="{00000000-0006-0000-0600-000022000000}">
      <text>
        <r>
          <rPr>
            <b/>
            <sz val="9"/>
            <color indexed="81"/>
            <rFont val="Segoe UI"/>
            <family val="2"/>
          </rPr>
          <t>Taxtool Vorjahr / Ordner Pensionstaxe / H7</t>
        </r>
      </text>
    </comment>
    <comment ref="F79" authorId="0" shapeId="0" xr:uid="{00000000-0006-0000-0600-000024000000}">
      <text>
        <r>
          <rPr>
            <b/>
            <sz val="9"/>
            <color indexed="81"/>
            <rFont val="Segoe UI"/>
            <family val="2"/>
          </rPr>
          <t xml:space="preserve">Taxtool Vorjahr /  Ordner Pensionstaxe / H8
</t>
        </r>
        <r>
          <rPr>
            <sz val="9"/>
            <color indexed="81"/>
            <rFont val="Segoe UI"/>
            <family val="2"/>
          </rPr>
          <t xml:space="preserve">
</t>
        </r>
      </text>
    </comment>
    <comment ref="F80" authorId="0" shapeId="0" xr:uid="{00000000-0006-0000-0600-000026000000}">
      <text>
        <r>
          <rPr>
            <b/>
            <sz val="9"/>
            <color indexed="81"/>
            <rFont val="Segoe UI"/>
            <family val="2"/>
          </rPr>
          <t xml:space="preserve">Taxtool Vorjahr /  Ordner Pensionstaxe / H9
</t>
        </r>
      </text>
    </comment>
    <comment ref="F81" authorId="0" shapeId="0" xr:uid="{00000000-0006-0000-0600-000028000000}">
      <text>
        <r>
          <rPr>
            <b/>
            <sz val="9"/>
            <color indexed="81"/>
            <rFont val="Segoe UI"/>
            <family val="2"/>
          </rPr>
          <t xml:space="preserve">Taxtool Vorjahr /  Ordner Pensionstaxe / H10
</t>
        </r>
        <r>
          <rPr>
            <sz val="9"/>
            <color indexed="81"/>
            <rFont val="Segoe UI"/>
            <family val="2"/>
          </rPr>
          <t xml:space="preserve">
</t>
        </r>
      </text>
    </comment>
    <comment ref="F82" authorId="0" shapeId="0" xr:uid="{00000000-0006-0000-0600-00002A000000}">
      <text>
        <r>
          <rPr>
            <b/>
            <sz val="9"/>
            <color indexed="81"/>
            <rFont val="Segoe UI"/>
            <family val="2"/>
          </rPr>
          <t>Taxtool Vorjahr /  Ordner Pensionstaxe / H11</t>
        </r>
      </text>
    </comment>
    <comment ref="F83" authorId="0" shapeId="0" xr:uid="{00000000-0006-0000-0600-00002C000000}">
      <text>
        <r>
          <rPr>
            <b/>
            <sz val="9"/>
            <color indexed="81"/>
            <rFont val="Segoe UI"/>
            <family val="2"/>
          </rPr>
          <t>Taxtool Vorjahr / Ordner Pensionstaxe / H12</t>
        </r>
      </text>
    </comment>
    <comment ref="F84" authorId="0" shapeId="0" xr:uid="{00000000-0006-0000-0600-00002E000000}">
      <text>
        <r>
          <rPr>
            <b/>
            <sz val="9"/>
            <color indexed="81"/>
            <rFont val="Segoe UI"/>
            <family val="2"/>
          </rPr>
          <t>Taxtool Vorjahr / Ordner Pensionstaxe / H13</t>
        </r>
      </text>
    </comment>
    <comment ref="A88" authorId="2" shapeId="0" xr:uid="{00000000-0006-0000-0600-000031000000}">
      <text>
        <r>
          <rPr>
            <b/>
            <sz val="9"/>
            <color indexed="81"/>
            <rFont val="Segoe UI"/>
            <family val="2"/>
          </rPr>
          <t>Pflegematerial und medizinischer Bedarf, der den KK oder den Bewohnenden separat in Rechnung gestellt werden kann (Pflegeanschaffungen  sind schon pauschal berücksichtigt)
Zu diesen Kosten bestehen Einnahmen!</t>
        </r>
      </text>
    </comment>
    <comment ref="F88" authorId="0" shapeId="0" xr:uid="{00000000-0006-0000-0600-000033000000}">
      <text>
        <r>
          <rPr>
            <b/>
            <sz val="9"/>
            <color indexed="81"/>
            <rFont val="Segoe UI"/>
            <family val="2"/>
          </rPr>
          <t>Budget Pensionstaxe (Position ohne Pflegematerialien Erbringung KVG-Leistung)</t>
        </r>
      </text>
    </comment>
    <comment ref="F90" authorId="1" shapeId="0" xr:uid="{00000000-0006-0000-0600-000035000000}">
      <text>
        <r>
          <rPr>
            <b/>
            <sz val="9"/>
            <color indexed="81"/>
            <rFont val="Segoe UI"/>
            <family val="2"/>
          </rPr>
          <t>Taxtool Vorjahr / Ordner Pensionstaxe / H29</t>
        </r>
      </text>
    </comment>
    <comment ref="F91" authorId="1" shapeId="0" xr:uid="{00000000-0006-0000-0600-000037000000}">
      <text>
        <r>
          <rPr>
            <b/>
            <sz val="9"/>
            <color indexed="81"/>
            <rFont val="Segoe UI"/>
            <family val="2"/>
          </rPr>
          <t xml:space="preserve">Taxtool Vorjahr / Ordner Pensionstaxe / H30
</t>
        </r>
      </text>
    </comment>
    <comment ref="F92" authorId="1" shapeId="0" xr:uid="{00000000-0006-0000-0600-000039000000}">
      <text>
        <r>
          <rPr>
            <b/>
            <sz val="9"/>
            <color indexed="81"/>
            <rFont val="Segoe UI"/>
            <family val="2"/>
          </rPr>
          <t xml:space="preserve">Taxtool Vorjahr / Ordner Pensionstaxe / H31
</t>
        </r>
      </text>
    </comment>
    <comment ref="F93" authorId="1" shapeId="0" xr:uid="{00000000-0006-0000-0600-00003B000000}">
      <text>
        <r>
          <rPr>
            <b/>
            <sz val="9"/>
            <color indexed="81"/>
            <rFont val="Segoe UI"/>
            <family val="2"/>
          </rPr>
          <t>Taxtool Vorjahr / Ordner Pensionstaxe / H32</t>
        </r>
      </text>
    </comment>
    <comment ref="A94" authorId="2" shapeId="0" xr:uid="{00000000-0006-0000-0600-00003C000000}">
      <text>
        <r>
          <rPr>
            <b/>
            <sz val="9"/>
            <color indexed="81"/>
            <rFont val="Segoe UI"/>
            <family val="2"/>
          </rPr>
          <t xml:space="preserve">kalk. Abschreibungen, Miete und Leasing, kalk. Zinsen
</t>
        </r>
      </text>
    </comment>
    <comment ref="F94" authorId="1" shapeId="0" xr:uid="{00000000-0006-0000-0600-00003E000000}">
      <text>
        <r>
          <rPr>
            <b/>
            <sz val="9"/>
            <color indexed="81"/>
            <rFont val="Segoe UI"/>
            <family val="2"/>
          </rPr>
          <t xml:space="preserve">Taxtool Vorjahr / Ordner Pensionstaxe / H33+H34+H36
</t>
        </r>
      </text>
    </comment>
    <comment ref="F95" authorId="0" shapeId="0" xr:uid="{00000000-0006-0000-0600-000040000000}">
      <text>
        <r>
          <rPr>
            <b/>
            <sz val="9"/>
            <color indexed="81"/>
            <rFont val="Segoe UI"/>
            <family val="2"/>
          </rPr>
          <t xml:space="preserve">Taxtool Vorjahr / Ordner Pensionstaxe / H35
</t>
        </r>
      </text>
    </comment>
    <comment ref="F96" authorId="1" shapeId="0" xr:uid="{00000000-0006-0000-0600-000042000000}">
      <text>
        <r>
          <rPr>
            <b/>
            <sz val="9"/>
            <color indexed="81"/>
            <rFont val="Segoe UI"/>
            <family val="2"/>
          </rPr>
          <t>Taxtool Vorjahr / Ordner Pensionstaxe / H39</t>
        </r>
      </text>
    </comment>
    <comment ref="F97" authorId="1" shapeId="0" xr:uid="{00000000-0006-0000-0600-000044000000}">
      <text>
        <r>
          <rPr>
            <b/>
            <sz val="9"/>
            <color indexed="81"/>
            <rFont val="Segoe UI"/>
            <family val="2"/>
          </rPr>
          <t>Taxtool Vorjahr / Ordner Pensionstaxe / H38+H40</t>
        </r>
      </text>
    </comment>
    <comment ref="F98" authorId="1" shapeId="0" xr:uid="{00000000-0006-0000-0600-000046000000}">
      <text>
        <r>
          <rPr>
            <b/>
            <sz val="9"/>
            <color indexed="81"/>
            <rFont val="Segoe UI"/>
            <family val="2"/>
          </rPr>
          <t>Taxtool Vorjahr / Ordner Vergleich / D94</t>
        </r>
      </text>
    </comment>
  </commentList>
</comments>
</file>

<file path=xl/sharedStrings.xml><?xml version="1.0" encoding="utf-8"?>
<sst xmlns="http://schemas.openxmlformats.org/spreadsheetml/2006/main" count="523" uniqueCount="374">
  <si>
    <t>Total</t>
  </si>
  <si>
    <t>verteilt auf
 Personen</t>
  </si>
  <si>
    <t>m2</t>
  </si>
  <si>
    <t>Personalnebenkosten</t>
  </si>
  <si>
    <t>Lebensmittelaufwand</t>
  </si>
  <si>
    <t>Haushaltaufwand</t>
  </si>
  <si>
    <t>Unterhalt und Reparaturen</t>
  </si>
  <si>
    <t>Büro- und Verwaltungsaufwand</t>
  </si>
  <si>
    <t>Nicht KVG Anteil pro Bewohnertag</t>
  </si>
  <si>
    <t>Nicht KVG Anteil</t>
  </si>
  <si>
    <t>Sozialleistungen</t>
  </si>
  <si>
    <t>Stellen</t>
  </si>
  <si>
    <t>Stufe 12</t>
  </si>
  <si>
    <t>Stufe 11</t>
  </si>
  <si>
    <t>Stufe 10</t>
  </si>
  <si>
    <t>Stufe 9</t>
  </si>
  <si>
    <t>Stufe 8</t>
  </si>
  <si>
    <t>Stufe 7</t>
  </si>
  <si>
    <t>Stufe 6</t>
  </si>
  <si>
    <t>Stufe 5</t>
  </si>
  <si>
    <t>Stufe 4</t>
  </si>
  <si>
    <t>Stufe 3</t>
  </si>
  <si>
    <t>Stufe 2</t>
  </si>
  <si>
    <t>Stufe 1</t>
  </si>
  <si>
    <t>Stufe 0</t>
  </si>
  <si>
    <t>Min / Tag</t>
  </si>
  <si>
    <t>Finanzierte Kosten pro Pflegeminute</t>
  </si>
  <si>
    <t>Finanzierte Personalkosten pro Pflegeminute</t>
  </si>
  <si>
    <t>Anlagekosten Pflege**</t>
  </si>
  <si>
    <t>Drittkosten Pflege*</t>
  </si>
  <si>
    <t>Fort- und Weiterbildung</t>
  </si>
  <si>
    <t>Lohn Assistenzpers.</t>
  </si>
  <si>
    <t>Lohn Pflegefachpersonal Sek.</t>
  </si>
  <si>
    <t>Lohn Pflegefachpersonal Tert.</t>
  </si>
  <si>
    <t>Monatslohn</t>
  </si>
  <si>
    <t xml:space="preserve">Kosten </t>
  </si>
  <si>
    <t>Total finanzierte Stellen</t>
  </si>
  <si>
    <t>Betrieb speziell</t>
  </si>
  <si>
    <t>Zeitentschädigung Nachtwache (pro NW 0.2 Stellen)</t>
  </si>
  <si>
    <t>Pflege gemäss Einstufung</t>
  </si>
  <si>
    <t xml:space="preserve">Total </t>
  </si>
  <si>
    <t>Minuten</t>
  </si>
  <si>
    <t>Tage</t>
  </si>
  <si>
    <t>Anz, Bew.</t>
  </si>
  <si>
    <t>Bewohner in Pflegestufen</t>
  </si>
  <si>
    <t>Std.</t>
  </si>
  <si>
    <t>produktive Jahresstunden</t>
  </si>
  <si>
    <t>Unproduktivität</t>
  </si>
  <si>
    <t>Std</t>
  </si>
  <si>
    <t>Jahresstunden</t>
  </si>
  <si>
    <t>Anwesenheitstage</t>
  </si>
  <si>
    <t>Abwesenheitstage*</t>
  </si>
  <si>
    <t>Ferientage</t>
  </si>
  <si>
    <t>Personal Anwesenheit</t>
  </si>
  <si>
    <t>Tarifberechnung Nicht-KVG-Anteil (Betreuung)</t>
  </si>
  <si>
    <t>KVG-
Anteil</t>
  </si>
  <si>
    <t xml:space="preserve">Erlöse aus Miet- und Kapitalzinsen </t>
  </si>
  <si>
    <t xml:space="preserve">Erlöse aus Leistungen für Bewohner/innen </t>
  </si>
  <si>
    <t>Zins</t>
  </si>
  <si>
    <t>Besoldung Verwaltung</t>
  </si>
  <si>
    <t>Besoldung Techn. Dienst</t>
  </si>
  <si>
    <t>Übriger Betriebsaufwand (Versicherung, Entsorgung, Gebühren etc.)</t>
  </si>
  <si>
    <t>Besoldung Hausdienst inkl. Wäscherei</t>
  </si>
  <si>
    <t>*Krank / Weiterbildung/Kurzurlaube</t>
  </si>
  <si>
    <t>Qualitätsverantwortliche Person Pflege</t>
  </si>
  <si>
    <t>Zusätzliche Stellenprozente Betriebsintern</t>
  </si>
  <si>
    <t>Wert</t>
  </si>
  <si>
    <t>Qualitätssicherung Anteil Pflege**</t>
  </si>
  <si>
    <t>**Betrag pro Bewohner/-in</t>
  </si>
  <si>
    <t>Tarifberechnung Pension</t>
  </si>
  <si>
    <t>Budgetierte Stellen Pension</t>
  </si>
  <si>
    <t xml:space="preserve">Besoldung </t>
  </si>
  <si>
    <t>Besoldung Dritte</t>
  </si>
  <si>
    <t>Total budgetierte Besoldungen</t>
  </si>
  <si>
    <t>Aufwand</t>
  </si>
  <si>
    <t>Total Besoldungen</t>
  </si>
  <si>
    <t>Sozialleistungen (ohne Pflegepersonal)</t>
  </si>
  <si>
    <t>Anschaffungen - Direktabschreibung</t>
  </si>
  <si>
    <t>kalkulatorische Abschreibungen</t>
  </si>
  <si>
    <t>kalkulatorische Zinsen</t>
  </si>
  <si>
    <t>Energie und Wasser</t>
  </si>
  <si>
    <t>Zwischentotal Aufwendungen zu Lasten Pension</t>
  </si>
  <si>
    <t>Erlöse</t>
  </si>
  <si>
    <t xml:space="preserve">Erlöse aus Personal und Dritte </t>
  </si>
  <si>
    <t>Erlöse aus Cafeteria - Restaurant</t>
  </si>
  <si>
    <t>Erlöse aus Nebenleistungen, Verrechnungen etc.</t>
  </si>
  <si>
    <t>Zwischentotal Erlöse</t>
  </si>
  <si>
    <t>Zimmerkategorie</t>
  </si>
  <si>
    <t>Belegung</t>
  </si>
  <si>
    <t>Bewohnertage</t>
  </si>
  <si>
    <t>Preis</t>
  </si>
  <si>
    <t>Total Tage</t>
  </si>
  <si>
    <t>Durchschnitt pro Tag</t>
  </si>
  <si>
    <r>
      <t xml:space="preserve">Total anrechenbare Betriebskosten netto </t>
    </r>
    <r>
      <rPr>
        <sz val="11"/>
        <color theme="1"/>
        <rFont val="Calibri"/>
        <family val="2"/>
        <scheme val="minor"/>
      </rPr>
      <t/>
    </r>
  </si>
  <si>
    <t>Anlagekategorie</t>
  </si>
  <si>
    <t>Kat. 1: Daueranlagen unbegrenzt, Grundstücke oder Baurechtsverträge</t>
  </si>
  <si>
    <t>Grundstück</t>
  </si>
  <si>
    <t>Grundstück im Baurecht</t>
  </si>
  <si>
    <t>Landerwerb (Kauf oder Baurecht)</t>
  </si>
  <si>
    <t>Kat. 2: Gebäude inkl. Vorbereitungsarbeiten (80%)</t>
  </si>
  <si>
    <t>Investitionen im Planjahr</t>
  </si>
  <si>
    <t>Kat. 4: Mobile Sachanlagen</t>
  </si>
  <si>
    <t>Erstanschaffung bei Miete</t>
  </si>
  <si>
    <t>Mietzinserhöhung infolge Zusatzbeschaffungen</t>
  </si>
  <si>
    <t>Summe Anlagen aus dem Jahr</t>
  </si>
  <si>
    <t>Anlagewert</t>
  </si>
  <si>
    <t>Total Kosten Finanzbuchhaltung (Fibu)</t>
  </si>
  <si>
    <t>Sachlich / Zeitliche Abgrenzung</t>
  </si>
  <si>
    <t>effektive Abschrei-bungen (Fibu)</t>
  </si>
  <si>
    <t>Anschaffungs-wert</t>
  </si>
  <si>
    <t>Nutzungs-dauer (Jahre)</t>
  </si>
  <si>
    <t>Anschaffungs-jahr</t>
  </si>
  <si>
    <t>Abschrei-bungs-satz 
(in %)</t>
  </si>
  <si>
    <t>Kat. 3: mittelf. Anlageteile; 
Allgemeine Betriebsinstallationen 20%)</t>
  </si>
  <si>
    <t>Kat. 5: sehr kfr. Anlageteile, Fahrzeuge, EDV-Hardware 
und Software, Medizintechnische Anlagen</t>
  </si>
  <si>
    <t>Abschreibungen Total</t>
  </si>
  <si>
    <t>Lohnsumme Pflegefachpersonal Tertiärstufe</t>
  </si>
  <si>
    <t>Lohnsumme Pflegefachpersonal Sekundarstufe</t>
  </si>
  <si>
    <t>Lohnsumme Assistenzpersonal</t>
  </si>
  <si>
    <t xml:space="preserve"> 
Pflegestufe
</t>
  </si>
  <si>
    <t xml:space="preserve">Gemeinde-
beitrag
</t>
  </si>
  <si>
    <t xml:space="preserve">
Betreuungs-
beitrag
Bewohner
</t>
  </si>
  <si>
    <t>Institution:</t>
  </si>
  <si>
    <t>Total Stellen</t>
  </si>
  <si>
    <t>Pflegefachpersonal Tert.</t>
  </si>
  <si>
    <t>Pflegefachpersonal Sek.</t>
  </si>
  <si>
    <t>Assistenzpers.</t>
  </si>
  <si>
    <t>Besoldung Verpflegung</t>
  </si>
  <si>
    <t>Kennzahlen</t>
  </si>
  <si>
    <t>Leistung</t>
  </si>
  <si>
    <t>Pflegeminuten</t>
  </si>
  <si>
    <t>Pflegetage</t>
  </si>
  <si>
    <t>Taxen</t>
  </si>
  <si>
    <t>Minutenwert Pflege</t>
  </si>
  <si>
    <t>Tageswert Betreuung</t>
  </si>
  <si>
    <t>Durchschnittliche Pensionskosten pro Bewohnertag</t>
  </si>
  <si>
    <t>Pflegestellen gemäss Einstufung</t>
  </si>
  <si>
    <t>Zusatzstellen Pflege</t>
  </si>
  <si>
    <t>Personalkosten pro Stelle* inkl. Zulagen</t>
  </si>
  <si>
    <t>Stellen pro Stufe</t>
  </si>
  <si>
    <t>Total Zusatzstellen</t>
  </si>
  <si>
    <t>Personalkosten KVG Pflege</t>
  </si>
  <si>
    <t>Zusatzkosten KVG</t>
  </si>
  <si>
    <t>Total Personalkosten  KVG-Pflege</t>
  </si>
  <si>
    <t>Total Zusatzkosten KVG</t>
  </si>
  <si>
    <t xml:space="preserve">Tarifberechnung Pflege </t>
  </si>
  <si>
    <t>Totalkosten KVG</t>
  </si>
  <si>
    <t>Totale Lohnsumme</t>
  </si>
  <si>
    <t>Berechnung der Anlagenutzung</t>
  </si>
  <si>
    <t>Anlagenutzung</t>
  </si>
  <si>
    <t>Taxübersicht Eingabe</t>
  </si>
  <si>
    <t xml:space="preserve">Institution: </t>
  </si>
  <si>
    <t>Pensionstaxe</t>
  </si>
  <si>
    <t>der Jahresstunden</t>
  </si>
  <si>
    <t>Besoldung Grundausbildung Pensionsbereich</t>
  </si>
  <si>
    <t xml:space="preserve">   Verrechnung Lohnkosten auf Pflege</t>
  </si>
  <si>
    <t xml:space="preserve">   Verrechnung Personalnebenkosten auf Pflege</t>
  </si>
  <si>
    <t xml:space="preserve">   Verrechnung Fort- und Weiterbildung Pflege</t>
  </si>
  <si>
    <t xml:space="preserve">   Verrechnung Anlageanteil auf Pflege</t>
  </si>
  <si>
    <t>Anlagenutzung                                                                  Total</t>
  </si>
  <si>
    <t>Durchschnittlich budgetierte Pensionseinnahmen pro Tag</t>
  </si>
  <si>
    <t>Ø Bewohner-belastung</t>
  </si>
  <si>
    <t>Duschnittliche budgetierte Pensionseinnahmen pro Tag</t>
  </si>
  <si>
    <t>Stellen (100%)</t>
  </si>
  <si>
    <t>Stellen Aktivierung - Betreuung</t>
  </si>
  <si>
    <t>Stellen KVG Pflege und Betreung Total</t>
  </si>
  <si>
    <t xml:space="preserve">Ausbildungsstellen Pflege (Grundausbildung) </t>
  </si>
  <si>
    <t>Praktikant/-innen</t>
  </si>
  <si>
    <t>Pflegestellenmix</t>
  </si>
  <si>
    <t>- Tertiärausbildung</t>
  </si>
  <si>
    <t>- Sekundärausblidung</t>
  </si>
  <si>
    <t>- Assistenzpersonal</t>
  </si>
  <si>
    <t>Ausbildungsstellen Pflege / Stellen Pflege und Betreuung</t>
  </si>
  <si>
    <t>Pflegefachpersonal Tert. Ø Monatslohn</t>
  </si>
  <si>
    <t>Pflegefachpersonal Sek. Ø Monatslohn</t>
  </si>
  <si>
    <t>Assistenzpers. Ø Monatslohn</t>
  </si>
  <si>
    <t>Aktivierungspersonal Ø Monatslohn</t>
  </si>
  <si>
    <t>Sa/So/Nachtzulagen Betrag</t>
  </si>
  <si>
    <t xml:space="preserve">Sozialleistungen </t>
  </si>
  <si>
    <t>Stellen KVG-pflichtig Total</t>
  </si>
  <si>
    <t>Pflege</t>
  </si>
  <si>
    <t>Produktive Jahresstunden</t>
  </si>
  <si>
    <t>Bewohner/-innen-Mix (Ø pro Stufe)</t>
  </si>
  <si>
    <t>Ø Personalkosten KVG-Pflege / KVG-pflichtige Stelle</t>
  </si>
  <si>
    <t>Betreuung</t>
  </si>
  <si>
    <t>Nicht KVG Anteil der Kosten</t>
  </si>
  <si>
    <t>Ø Personalkosten Personal/Total Stellen Pflege+Betreuung</t>
  </si>
  <si>
    <t>Pension</t>
  </si>
  <si>
    <t>Sa / So / Nachtzulagen</t>
  </si>
  <si>
    <t>Lohnsumme Aktivierungspersonal</t>
  </si>
  <si>
    <t>Kalkulatorische Abschrei-bungen</t>
  </si>
  <si>
    <t>Baurechtszins resp. Miete</t>
  </si>
  <si>
    <t>Intern</t>
  </si>
  <si>
    <t>Totale Kosten KVG-Pflege / Betreuung / Aktivitäten</t>
  </si>
  <si>
    <t>Leitungsanteile PDL / STV gemäss Betrieb</t>
  </si>
  <si>
    <t>Zwischensumme Kat. 1</t>
  </si>
  <si>
    <t>Zwischensumme Kat. 2</t>
  </si>
  <si>
    <t>Zwischensumme Kat. 3</t>
  </si>
  <si>
    <t>Zwischensumme Kat. 4</t>
  </si>
  <si>
    <t>Zwischensumme Kat. 5</t>
  </si>
  <si>
    <t>Total Pensionstage</t>
  </si>
  <si>
    <t>Total Aufenthaltstage</t>
  </si>
  <si>
    <t>Total Pflegetage</t>
  </si>
  <si>
    <t>alle</t>
  </si>
  <si>
    <t>0-12</t>
  </si>
  <si>
    <t>1-12</t>
  </si>
  <si>
    <t>Pflegestellen direkt</t>
  </si>
  <si>
    <t>Pflegemin.</t>
  </si>
  <si>
    <t>geplant Bewohnende</t>
  </si>
  <si>
    <t>Abwesend/Reservationstage</t>
  </si>
  <si>
    <t>Übernahme Pensionsberechnung</t>
  </si>
  <si>
    <t>Für Berechnung Betreuung</t>
  </si>
  <si>
    <t>Zimmer/Betten</t>
  </si>
  <si>
    <t>Plege-
beitrag
Kranken-
kassen</t>
  </si>
  <si>
    <t>Pflege-
kosten-
beitrag 
Bewohner</t>
  </si>
  <si>
    <t>Anzahl</t>
  </si>
  <si>
    <t>Pensionstage Total inkl. Abwesend/Reservationen</t>
  </si>
  <si>
    <t>Einfügen Werte</t>
  </si>
  <si>
    <t>Anteile</t>
  </si>
  <si>
    <t>Jahrestage:</t>
  </si>
  <si>
    <t>Freitage:</t>
  </si>
  <si>
    <t>Feiertage:</t>
  </si>
  <si>
    <t>Arbeitstage:</t>
  </si>
  <si>
    <t>Arbeitszeit / Tag:</t>
  </si>
  <si>
    <t>Auslastung:</t>
  </si>
  <si>
    <t>Bettenangebot:</t>
  </si>
  <si>
    <t>Zeittage:</t>
  </si>
  <si>
    <t>Erfolgsrechnung</t>
  </si>
  <si>
    <t>Abschreibungen gem. Fibu</t>
  </si>
  <si>
    <t>Total Aufwand</t>
  </si>
  <si>
    <t>Einnahmen Grundtaxen</t>
  </si>
  <si>
    <t>Einnahmen Pflege und Aufenthaltsanteil Pflege</t>
  </si>
  <si>
    <t>Anteil Nicht KVG</t>
  </si>
  <si>
    <t>Total Einnahmen Grundtaxen</t>
  </si>
  <si>
    <t>Total Einnahmen Pflege und Aufenthalt</t>
  </si>
  <si>
    <t>Einnahmen Drittleistungen</t>
  </si>
  <si>
    <t>Total Einnahmen Drittleistungen</t>
  </si>
  <si>
    <t>Total Ausgaben</t>
  </si>
  <si>
    <t>Total Einnahmen</t>
  </si>
  <si>
    <t>Erfolg</t>
  </si>
  <si>
    <t>Bemerkungen</t>
  </si>
  <si>
    <t>Vergleich</t>
  </si>
  <si>
    <t xml:space="preserve">Bemerkungen </t>
  </si>
  <si>
    <t>Total Aufenthaltstage (Pflegetage+Stufe0)</t>
  </si>
  <si>
    <t>Total Pensionseinnahmen</t>
  </si>
  <si>
    <t>Durchschnittliche Pensionseinnahmen pro Tag</t>
  </si>
  <si>
    <t>KVG-Pflegestellen (100%)</t>
  </si>
  <si>
    <t>KVG-Pflege-Stellen Total</t>
  </si>
  <si>
    <t>Personalkosten inkl. Zulagen</t>
  </si>
  <si>
    <t>Miete aus Anlagekosten</t>
  </si>
  <si>
    <t>Leasing Fahrzeuge, Geräte etc.</t>
  </si>
  <si>
    <t>Stellen KVG / Pflegestellen Total</t>
  </si>
  <si>
    <t>Verwaltung Lohnsumme</t>
  </si>
  <si>
    <t>Verpflegung Lohnsumme</t>
  </si>
  <si>
    <t>Hausdienst inkl. Wäscherei Lohnsumme</t>
  </si>
  <si>
    <t>Techn. Dienst Lohnsumme</t>
  </si>
  <si>
    <t>Dritte Lohnsumme</t>
  </si>
  <si>
    <t>Pensioneneinnahmen Total</t>
  </si>
  <si>
    <t>Besoldungskosten exkl. Sozialleistungen</t>
  </si>
  <si>
    <t>Total Personalkosten (inkl. SozL und PersNK)</t>
  </si>
  <si>
    <t>Qualitätssicherung</t>
  </si>
  <si>
    <t xml:space="preserve">   Verrechnung Qualitätssicherung</t>
  </si>
  <si>
    <t>Budget 2018</t>
  </si>
  <si>
    <t xml:space="preserve">Lebensmittelaufwand </t>
  </si>
  <si>
    <t xml:space="preserve">Unterhalt und Reparaturen </t>
  </si>
  <si>
    <t xml:space="preserve">Anschaffungen - Direktabschreibungen </t>
  </si>
  <si>
    <t>Anlagenutzungskosten Pension</t>
  </si>
  <si>
    <t>Energie, Wasser, Übrgiger Betriebsaufwand</t>
  </si>
  <si>
    <t>Total anrechenbare Erlöse</t>
  </si>
  <si>
    <t>*% von Gesamtlohnkosten Pflege mit Sozialleistungen</t>
  </si>
  <si>
    <t xml:space="preserve">Produkte medizinischer und pflegerischer Bedarf der Bewohnenden </t>
  </si>
  <si>
    <t>Rechnung 2017</t>
  </si>
  <si>
    <t>Budget 2019</t>
  </si>
  <si>
    <t>Δ 2019 zu 2017</t>
  </si>
  <si>
    <t>Δ 201 zu B2018</t>
  </si>
  <si>
    <t>Stellenverhältnisse KVG</t>
  </si>
  <si>
    <t>gerundet</t>
  </si>
  <si>
    <t>Nachkalkulation/ER</t>
  </si>
  <si>
    <t>Pensionstage Total (inkl. Abwesenheiten/Reservation)</t>
  </si>
  <si>
    <t>Pensionskostenanteile</t>
  </si>
  <si>
    <t>Sozialleistungen Besoldungen</t>
  </si>
  <si>
    <t>Pensionskostenanteile netto pro Pensionstag</t>
  </si>
  <si>
    <t>Personalkosten KVG-Pflege</t>
  </si>
  <si>
    <t>Ø Personalkosten Personal/Festanstellungen Pflege+Betreuung</t>
  </si>
  <si>
    <t>Personalkosten Pflege und Betreuung (inkl. Lernende)</t>
  </si>
  <si>
    <t>alt  Ø Lohn Aktivierung</t>
  </si>
  <si>
    <t>Anschaffungen - Direktabschreibungen</t>
  </si>
  <si>
    <t>Übersicht mit kantonalen Vergleichszahlen</t>
  </si>
  <si>
    <t>A) PFLEGE</t>
  </si>
  <si>
    <t>B) BETREUUNG</t>
  </si>
  <si>
    <t>C) PENSION</t>
  </si>
  <si>
    <t>Median</t>
  </si>
  <si>
    <t>75% Perzentil</t>
  </si>
  <si>
    <t>Sozialleistungen Anteil</t>
  </si>
  <si>
    <t>Pensionskosten pro Tag                      25 %</t>
  </si>
  <si>
    <t xml:space="preserve">D) AUFENTHALT </t>
  </si>
  <si>
    <t>Pflegeminutenwert                25  % Perzentil</t>
  </si>
  <si>
    <t>Jeweils im Verhältnis zur Anzahl der Betriebe</t>
  </si>
  <si>
    <t>Energie, Wasser, Übriger Betriebsaufwand</t>
  </si>
  <si>
    <t>Total Kalkulatorische Kosten</t>
  </si>
  <si>
    <t>Stationsleitungsanteile / Pflegeerfassung gem. Betrieb</t>
  </si>
  <si>
    <t>Kalkulatorische 
Zinsen</t>
  </si>
  <si>
    <t>Aufenthaltskosten Pension+Betreuung  25 %</t>
  </si>
  <si>
    <t>Pensionskosten o. Anlage pro Tag       25%</t>
  </si>
  <si>
    <t>Anlagenutzungskosten  pro Tag          25 %</t>
  </si>
  <si>
    <t>Nicht KVG Anteil der Kosten                25%</t>
  </si>
  <si>
    <t>Freiwillige Betreuung</t>
  </si>
  <si>
    <t>nicht vergleichbar</t>
  </si>
  <si>
    <t>Stellen
(nur eff. Anteil)</t>
  </si>
  <si>
    <t>Nicht KVG Anteil  in % der Lohnsumme</t>
  </si>
  <si>
    <t>Elektronisches Patientendossier**</t>
  </si>
  <si>
    <t>Pensionskostenanteile netto vor Verrechn.</t>
  </si>
  <si>
    <t>Verrechnung Lohnkosten auf Pflege</t>
  </si>
  <si>
    <t>Verrechnung Qualitätssicherung</t>
  </si>
  <si>
    <t>Verrechnung Personalnebenkosten auf Pflege</t>
  </si>
  <si>
    <t>Verrechnung Fort- und Weiterbildung Pflege</t>
  </si>
  <si>
    <t>Verrechnung Anlageanteil auf Pflege</t>
  </si>
  <si>
    <t>Pensionskosten nettto nach Verrechn.</t>
  </si>
  <si>
    <t>Pensionskosten netto pro Pensionstag</t>
  </si>
  <si>
    <t xml:space="preserve">   Verrechnung Elektr. Patientendossier Anteil Pflege</t>
  </si>
  <si>
    <t>Verrechnung Elektr. Pat.dossier auf Pflege</t>
  </si>
  <si>
    <t>Pflegematerialien (MiGeL a-Produkte)**</t>
  </si>
  <si>
    <t>Budget 2023</t>
  </si>
  <si>
    <t>Durchschnittliche Aufenthaltskosten pro Bewohnertag</t>
  </si>
  <si>
    <t xml:space="preserve"> 
Pflegetaxe
</t>
  </si>
  <si>
    <t>Zahlen aus Nachkallkulation  2022</t>
  </si>
  <si>
    <t>Zahlen aus 
Taxtool Vorjahr
2023</t>
  </si>
  <si>
    <t>Rechnung 2022</t>
  </si>
  <si>
    <t>Budget 2024</t>
  </si>
  <si>
    <t>Δ 2024 zu 2022</t>
  </si>
  <si>
    <t>Δ 2024 zu B2023</t>
  </si>
  <si>
    <t>Kanton 2023</t>
  </si>
  <si>
    <t>Stellen
bedarf</t>
  </si>
  <si>
    <t>Anzahl Personen mit Lehrvertrag Pflege</t>
  </si>
  <si>
    <t>Total Lohnsumme</t>
  </si>
  <si>
    <t>Praktikant/innen / FABE in Ausbildung</t>
  </si>
  <si>
    <t>Löhne Pflegepersonal in Ausbildung</t>
  </si>
  <si>
    <t>Investitionen im Jahr</t>
  </si>
  <si>
    <t>Pensionstage</t>
  </si>
  <si>
    <t>Einnahmen aus der Pension (Vergleichsrechnung)</t>
  </si>
  <si>
    <t>Gedeckte Kosten durch Pensionseinnahmen</t>
  </si>
  <si>
    <t>250 / 200</t>
  </si>
  <si>
    <t>Werte einfügen</t>
  </si>
  <si>
    <t>Werte Einfügen</t>
  </si>
  <si>
    <t>Kopierbereich 
Zahlen für 
Taxtool 2025</t>
  </si>
  <si>
    <t>SCHULUNG</t>
  </si>
  <si>
    <t>Nebengebäude B</t>
  </si>
  <si>
    <t>Hauptgebäude A</t>
  </si>
  <si>
    <t>Umbau Gruppen</t>
  </si>
  <si>
    <t>Trakt 5</t>
  </si>
  <si>
    <t>Typ A</t>
  </si>
  <si>
    <t>Typ Ab</t>
  </si>
  <si>
    <t>Typ B</t>
  </si>
  <si>
    <t>Typ Cb</t>
  </si>
  <si>
    <t>Typ Db</t>
  </si>
  <si>
    <t>Typ E</t>
  </si>
  <si>
    <t>Typ F</t>
  </si>
  <si>
    <t>Typ G</t>
  </si>
  <si>
    <t>Typ Gl</t>
  </si>
  <si>
    <t>Typ L</t>
  </si>
  <si>
    <t>Typ M</t>
  </si>
  <si>
    <t>2. Person</t>
  </si>
  <si>
    <t>Wohngruppe / WWD</t>
  </si>
  <si>
    <t>Ferien</t>
  </si>
  <si>
    <t>Nachkalkulation 2022</t>
  </si>
  <si>
    <t>höhere Pflegebedürftigkeit erwartet</t>
  </si>
  <si>
    <t>etwas geringere Auslastung</t>
  </si>
  <si>
    <t>weniger Stufe 0</t>
  </si>
  <si>
    <t>Im Durchschnitt 15 Minuten</t>
  </si>
  <si>
    <t>Erhöhung notwendig Personalbedarf</t>
  </si>
  <si>
    <t>ähnlich 2022</t>
  </si>
  <si>
    <t xml:space="preserve">Teuerung </t>
  </si>
  <si>
    <t>Personell keine Veränderungen</t>
  </si>
  <si>
    <t>änderung MiGeL-Finanzierung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</si>
</sst>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2" formatCode="_ &quot;CHF&quot;\ * #,##0_ ;_ &quot;CHF&quot;\ * \-#,##0_ ;_ &quot;CHF&quot;\ * &quot;-&quot;_ ;_ @_ "/>
    <numFmt numFmtId="44" formatCode="_ &quot;CHF&quot;\ * #,##0.00_ ;_ &quot;CHF&quot;\ * \-#,##0.00_ ;_ &quot;CHF&quot;\ * &quot;-&quot;??_ ;_ @_ "/>
    <numFmt numFmtId="43" formatCode="_ * #,##0.00_ ;_ * \-#,##0.00_ ;_ * &quot;-&quot;??_ ;_ @_ "/>
    <numFmt numFmtId="164" formatCode="_ &quot;Fr.&quot;\ * #,##0_ ;_ &quot;Fr.&quot;\ * \-#,##0_ ;_ &quot;Fr.&quot;\ * &quot;-&quot;_ ;_ @_ "/>
    <numFmt numFmtId="165" formatCode="_ &quot;Fr.&quot;\ * #,##0.00_ ;_ &quot;Fr.&quot;\ * \-#,##0.00_ ;_ &quot;Fr.&quot;\ * &quot;-&quot;??_ ;_ @_ "/>
    <numFmt numFmtId="166" formatCode="0.0"/>
    <numFmt numFmtId="167" formatCode="0.0%"/>
    <numFmt numFmtId="168" formatCode="_ &quot;Fr.&quot;\ * #,##0.0000_ ;_ &quot;Fr.&quot;\ * \-#,##0.0000_ ;_ &quot;Fr.&quot;\ * &quot;-&quot;????_ ;_ @_ "/>
    <numFmt numFmtId="169" formatCode="#,##0.00_ ;\-#,##0.00\ "/>
    <numFmt numFmtId="170" formatCode="#,##0_ ;\-#,##0\ "/>
    <numFmt numFmtId="171" formatCode="#,##0.0_ ;\-#,##0.0\ "/>
    <numFmt numFmtId="172" formatCode="#,##0.0"/>
    <numFmt numFmtId="173" formatCode="_ [$CHF-807]\ * #,##0.00_ ;_ [$CHF-807]\ * \-#,##0.00_ ;_ [$CHF-807]\ * &quot;-&quot;??_ ;_ @_ "/>
    <numFmt numFmtId="174" formatCode="[$CHF-807]\ #,##0"/>
    <numFmt numFmtId="175" formatCode="_ * #,##0.0000_ ;_ * \-#,##0.0000_ ;_ * &quot;-&quot;????_ ;_ @_ "/>
    <numFmt numFmtId="176" formatCode="_ &quot;CHF&quot;\ * #,##0.0000_ ;_ &quot;CHF&quot;\ * \-#,##0.0000_ ;_ &quot;CHF&quot;\ * &quot;-&quot;????_ ;_ @_ "/>
    <numFmt numFmtId="177" formatCode="_ [$CHF-807]\ * #,##0_ ;_ [$CHF-807]\ * \-#,##0_ ;_ [$CHF-807]\ * &quot;-&quot;_ ;_ @_ "/>
    <numFmt numFmtId="178" formatCode="#,##0.0000"/>
  </numFmts>
  <fonts count="40">
    <font>
      <sz val="11"/>
      <name val="Arial"/>
    </font>
    <font>
      <sz val="11"/>
      <color theme="1"/>
      <name val="Calibri"/>
      <family val="2"/>
      <scheme val="minor"/>
    </font>
    <font>
      <sz val="11"/>
      <name val="Arial"/>
      <family val="2"/>
    </font>
    <font>
      <b/>
      <sz val="12"/>
      <name val="Arial"/>
      <family val="2"/>
    </font>
    <font>
      <b/>
      <sz val="11"/>
      <name val="Arial"/>
      <family val="2"/>
    </font>
    <font>
      <sz val="10"/>
      <name val="Arial"/>
      <family val="2"/>
    </font>
    <font>
      <sz val="12"/>
      <name val="Arial"/>
      <family val="2"/>
    </font>
    <font>
      <sz val="20"/>
      <name val="Arial"/>
      <family val="2"/>
    </font>
    <font>
      <b/>
      <sz val="20"/>
      <name val="Arial"/>
      <family val="2"/>
    </font>
    <font>
      <b/>
      <sz val="12"/>
      <color theme="0"/>
      <name val="Arial"/>
      <family val="2"/>
    </font>
    <font>
      <sz val="11"/>
      <name val="Arial"/>
      <family val="2"/>
    </font>
    <font>
      <sz val="12"/>
      <color rgb="FF006100"/>
      <name val="Frutiger-Roman"/>
      <family val="2"/>
    </font>
    <font>
      <b/>
      <sz val="9"/>
      <color indexed="81"/>
      <name val="Segoe UI"/>
      <family val="2"/>
    </font>
    <font>
      <sz val="9"/>
      <color indexed="81"/>
      <name val="Segoe UI"/>
      <family val="2"/>
    </font>
    <font>
      <sz val="18"/>
      <name val="Arial"/>
      <family val="2"/>
    </font>
    <font>
      <sz val="11"/>
      <color theme="1"/>
      <name val="Arial"/>
      <family val="2"/>
    </font>
    <font>
      <sz val="12"/>
      <color theme="1"/>
      <name val="Calibri"/>
      <family val="2"/>
      <scheme val="minor"/>
    </font>
    <font>
      <sz val="12"/>
      <color theme="1"/>
      <name val="Arial"/>
      <family val="2"/>
    </font>
    <font>
      <b/>
      <sz val="12"/>
      <color theme="1"/>
      <name val="Arial"/>
      <family val="2"/>
    </font>
    <font>
      <b/>
      <sz val="10"/>
      <name val="Arial"/>
      <family val="2"/>
    </font>
    <font>
      <i/>
      <sz val="11"/>
      <name val="Arial"/>
      <family val="2"/>
    </font>
    <font>
      <sz val="11"/>
      <name val="Frutiger-Roman"/>
    </font>
    <font>
      <b/>
      <u/>
      <sz val="12"/>
      <color theme="0"/>
      <name val="Arial"/>
      <family val="2"/>
    </font>
    <font>
      <b/>
      <sz val="11"/>
      <color theme="1"/>
      <name val="Arial"/>
      <family val="2"/>
    </font>
    <font>
      <b/>
      <u/>
      <sz val="12"/>
      <name val="Arial"/>
      <family val="2"/>
    </font>
    <font>
      <sz val="11"/>
      <color theme="3" tint="0.39997558519241921"/>
      <name val="Arial"/>
      <family val="2"/>
    </font>
    <font>
      <sz val="9"/>
      <color indexed="81"/>
      <name val="Tahoma"/>
      <family val="2"/>
    </font>
    <font>
      <sz val="9"/>
      <color indexed="81"/>
      <name val="Arial"/>
      <family val="2"/>
    </font>
    <font>
      <b/>
      <sz val="16"/>
      <name val="Arial"/>
      <family val="2"/>
    </font>
    <font>
      <sz val="9"/>
      <color indexed="81"/>
      <name val="Arial "/>
    </font>
    <font>
      <b/>
      <sz val="14"/>
      <name val="Arial"/>
      <family val="2"/>
    </font>
    <font>
      <sz val="11"/>
      <color theme="0"/>
      <name val="Arial"/>
      <family val="2"/>
    </font>
    <font>
      <sz val="11"/>
      <color rgb="FF0070C0"/>
      <name val="Arial"/>
      <family val="2"/>
    </font>
    <font>
      <sz val="10"/>
      <color theme="0"/>
      <name val="Arial"/>
      <family val="2"/>
    </font>
    <font>
      <sz val="9"/>
      <name val="Arial"/>
      <family val="2"/>
    </font>
    <font>
      <b/>
      <sz val="10"/>
      <color rgb="FFFF0000"/>
      <name val="Arial"/>
      <family val="2"/>
    </font>
    <font>
      <sz val="11"/>
      <color rgb="FFFF0000"/>
      <name val="Arial"/>
      <family val="2"/>
    </font>
    <font>
      <sz val="12"/>
      <color rgb="FFFF0000"/>
      <name val="Arial"/>
      <family val="2"/>
    </font>
    <font>
      <b/>
      <sz val="9"/>
      <color indexed="81"/>
      <name val="Segoe UI"/>
      <charset val="1"/>
    </font>
    <font>
      <sz val="8"/>
      <name val="Arial"/>
    </font>
  </fonts>
  <fills count="12">
    <fill>
      <patternFill patternType="none"/>
    </fill>
    <fill>
      <patternFill patternType="gray125"/>
    </fill>
    <fill>
      <patternFill patternType="solid">
        <fgColor rgb="FFC6EFCE"/>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99CC"/>
        <bgColor indexed="64"/>
      </patternFill>
    </fill>
    <fill>
      <patternFill patternType="solid">
        <fgColor rgb="FF33CCFF"/>
        <bgColor indexed="64"/>
      </patternFill>
    </fill>
  </fills>
  <borders count="119">
    <border>
      <left/>
      <right/>
      <top/>
      <bottom/>
      <diagonal/>
    </border>
    <border>
      <left style="thin">
        <color auto="1"/>
      </left>
      <right/>
      <top/>
      <bottom/>
      <diagonal/>
    </border>
    <border>
      <left style="medium">
        <color auto="1"/>
      </left>
      <right/>
      <top style="dotted">
        <color auto="1"/>
      </top>
      <bottom style="dotted">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dotted">
        <color auto="1"/>
      </top>
      <bottom/>
      <diagonal/>
    </border>
    <border>
      <left/>
      <right style="medium">
        <color auto="1"/>
      </right>
      <top/>
      <bottom/>
      <diagonal/>
    </border>
    <border>
      <left style="medium">
        <color auto="1"/>
      </left>
      <right/>
      <top/>
      <bottom/>
      <diagonal/>
    </border>
    <border>
      <left/>
      <right style="thin">
        <color auto="1"/>
      </right>
      <top/>
      <bottom/>
      <diagonal/>
    </border>
    <border>
      <left style="thin">
        <color auto="1"/>
      </left>
      <right style="thin">
        <color auto="1"/>
      </right>
      <top style="hair">
        <color auto="1"/>
      </top>
      <bottom/>
      <diagonal/>
    </border>
    <border>
      <left style="thin">
        <color auto="1"/>
      </left>
      <right style="thin">
        <color auto="1"/>
      </right>
      <top style="hair">
        <color auto="1"/>
      </top>
      <bottom style="hair">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style="medium">
        <color indexed="64"/>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dotted">
        <color auto="1"/>
      </top>
      <bottom style="dotted">
        <color auto="1"/>
      </bottom>
      <diagonal/>
    </border>
    <border>
      <left/>
      <right style="thin">
        <color indexed="64"/>
      </right>
      <top style="dotted">
        <color auto="1"/>
      </top>
      <bottom style="dotted">
        <color auto="1"/>
      </bottom>
      <diagonal/>
    </border>
    <border>
      <left style="thin">
        <color auto="1"/>
      </left>
      <right style="thin">
        <color auto="1"/>
      </right>
      <top style="dotted">
        <color auto="1"/>
      </top>
      <bottom/>
      <diagonal/>
    </border>
    <border>
      <left/>
      <right style="thin">
        <color auto="1"/>
      </right>
      <top style="dotted">
        <color auto="1"/>
      </top>
      <bottom/>
      <diagonal/>
    </border>
    <border>
      <left/>
      <right style="thin">
        <color indexed="64"/>
      </right>
      <top style="thin">
        <color indexed="64"/>
      </top>
      <bottom style="thin">
        <color auto="1"/>
      </bottom>
      <diagonal/>
    </border>
    <border>
      <left style="thin">
        <color auto="1"/>
      </left>
      <right style="thin">
        <color auto="1"/>
      </right>
      <top style="dotted">
        <color auto="1"/>
      </top>
      <bottom style="thin">
        <color auto="1"/>
      </bottom>
      <diagonal/>
    </border>
    <border>
      <left/>
      <right style="thin">
        <color auto="1"/>
      </right>
      <top style="dotted">
        <color indexed="64"/>
      </top>
      <bottom style="thin">
        <color indexed="64"/>
      </bottom>
      <diagonal/>
    </border>
    <border>
      <left style="thin">
        <color indexed="64"/>
      </left>
      <right style="thin">
        <color auto="1"/>
      </right>
      <top style="thin">
        <color indexed="64"/>
      </top>
      <bottom style="dotted">
        <color auto="1"/>
      </bottom>
      <diagonal/>
    </border>
    <border>
      <left/>
      <right/>
      <top style="hair">
        <color auto="1"/>
      </top>
      <bottom style="hair">
        <color auto="1"/>
      </bottom>
      <diagonal/>
    </border>
    <border>
      <left/>
      <right/>
      <top/>
      <bottom style="hair">
        <color auto="1"/>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auto="1"/>
      </top>
      <bottom/>
      <diagonal/>
    </border>
    <border>
      <left/>
      <right/>
      <top style="hair">
        <color auto="1"/>
      </top>
      <bottom/>
      <diagonal/>
    </border>
    <border>
      <left/>
      <right style="medium">
        <color indexed="64"/>
      </right>
      <top style="hair">
        <color auto="1"/>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top/>
      <bottom style="thin">
        <color indexed="64"/>
      </bottom>
      <diagonal/>
    </border>
    <border>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right style="medium">
        <color indexed="64"/>
      </right>
      <top style="thin">
        <color auto="1"/>
      </top>
      <bottom/>
      <diagonal/>
    </border>
    <border>
      <left style="medium">
        <color indexed="64"/>
      </left>
      <right style="thin">
        <color auto="1"/>
      </right>
      <top style="dotted">
        <color auto="1"/>
      </top>
      <bottom style="dotted">
        <color auto="1"/>
      </bottom>
      <diagonal/>
    </border>
    <border>
      <left style="medium">
        <color indexed="64"/>
      </left>
      <right style="thin">
        <color auto="1"/>
      </right>
      <top style="dotted">
        <color auto="1"/>
      </top>
      <bottom/>
      <diagonal/>
    </border>
    <border>
      <left style="medium">
        <color indexed="64"/>
      </left>
      <right style="thin">
        <color auto="1"/>
      </right>
      <top/>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right style="medium">
        <color auto="1"/>
      </right>
      <top/>
      <bottom style="double">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top style="dotted">
        <color indexed="64"/>
      </top>
      <bottom style="thin">
        <color indexed="64"/>
      </bottom>
      <diagonal/>
    </border>
    <border>
      <left/>
      <right/>
      <top style="dotted">
        <color auto="1"/>
      </top>
      <bottom/>
      <diagonal/>
    </border>
    <border>
      <left style="thin">
        <color auto="1"/>
      </left>
      <right/>
      <top style="dotted">
        <color auto="1"/>
      </top>
      <bottom style="thin">
        <color auto="1"/>
      </bottom>
      <diagonal/>
    </border>
    <border>
      <left style="thin">
        <color auto="1"/>
      </left>
      <right style="medium">
        <color indexed="64"/>
      </right>
      <top style="dotted">
        <color auto="1"/>
      </top>
      <bottom/>
      <diagonal/>
    </border>
    <border>
      <left style="thin">
        <color auto="1"/>
      </left>
      <right style="medium">
        <color indexed="64"/>
      </right>
      <top style="dotted">
        <color auto="1"/>
      </top>
      <bottom style="dotted">
        <color auto="1"/>
      </bottom>
      <diagonal/>
    </border>
    <border>
      <left style="thin">
        <color auto="1"/>
      </left>
      <right style="medium">
        <color indexed="64"/>
      </right>
      <top style="thin">
        <color auto="1"/>
      </top>
      <bottom/>
      <diagonal/>
    </border>
    <border>
      <left style="thin">
        <color auto="1"/>
      </left>
      <right style="medium">
        <color indexed="64"/>
      </right>
      <top style="dotted">
        <color auto="1"/>
      </top>
      <bottom style="thin">
        <color auto="1"/>
      </bottom>
      <diagonal/>
    </border>
    <border>
      <left style="medium">
        <color indexed="64"/>
      </left>
      <right/>
      <top style="hair">
        <color auto="1"/>
      </top>
      <bottom style="thin">
        <color auto="1"/>
      </bottom>
      <diagonal/>
    </border>
    <border>
      <left style="thin">
        <color auto="1"/>
      </left>
      <right style="thin">
        <color auto="1"/>
      </right>
      <top style="dotted">
        <color auto="1"/>
      </top>
      <bottom style="hair">
        <color auto="1"/>
      </bottom>
      <diagonal/>
    </border>
    <border>
      <left/>
      <right style="thin">
        <color indexed="64"/>
      </right>
      <top/>
      <bottom style="dotted">
        <color auto="1"/>
      </bottom>
      <diagonal/>
    </border>
    <border>
      <left style="thin">
        <color auto="1"/>
      </left>
      <right style="thin">
        <color auto="1"/>
      </right>
      <top/>
      <bottom style="dotted">
        <color auto="1"/>
      </bottom>
      <diagonal/>
    </border>
    <border>
      <left/>
      <right/>
      <top/>
      <bottom style="dotted">
        <color auto="1"/>
      </bottom>
      <diagonal/>
    </border>
    <border>
      <left style="thin">
        <color auto="1"/>
      </left>
      <right style="medium">
        <color indexed="64"/>
      </right>
      <top/>
      <bottom style="dotted">
        <color auto="1"/>
      </bottom>
      <diagonal/>
    </border>
    <border>
      <left/>
      <right/>
      <top style="thin">
        <color auto="1"/>
      </top>
      <bottom style="dotted">
        <color auto="1"/>
      </bottom>
      <diagonal/>
    </border>
    <border>
      <left/>
      <right style="thin">
        <color auto="1"/>
      </right>
      <top style="thin">
        <color indexed="64"/>
      </top>
      <bottom style="dotted">
        <color auto="1"/>
      </bottom>
      <diagonal/>
    </border>
    <border>
      <left style="thin">
        <color auto="1"/>
      </left>
      <right style="medium">
        <color indexed="64"/>
      </right>
      <top style="thin">
        <color indexed="64"/>
      </top>
      <bottom style="dotted">
        <color auto="1"/>
      </bottom>
      <diagonal/>
    </border>
    <border>
      <left style="medium">
        <color indexed="64"/>
      </left>
      <right/>
      <top style="dotted">
        <color auto="1"/>
      </top>
      <bottom/>
      <diagonal/>
    </border>
    <border>
      <left style="medium">
        <color indexed="64"/>
      </left>
      <right/>
      <top/>
      <bottom style="dotted">
        <color indexed="64"/>
      </bottom>
      <diagonal/>
    </border>
    <border>
      <left style="medium">
        <color indexed="64"/>
      </left>
      <right/>
      <top style="dotted">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medium">
        <color indexed="64"/>
      </top>
      <bottom style="thin">
        <color auto="1"/>
      </bottom>
      <diagonal/>
    </border>
    <border>
      <left style="medium">
        <color auto="1"/>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auto="1"/>
      </left>
      <right style="hair">
        <color indexed="64"/>
      </right>
      <top style="hair">
        <color indexed="64"/>
      </top>
      <bottom style="medium">
        <color auto="1"/>
      </bottom>
      <diagonal/>
    </border>
    <border>
      <left style="hair">
        <color indexed="64"/>
      </left>
      <right style="hair">
        <color indexed="64"/>
      </right>
      <top style="hair">
        <color indexed="64"/>
      </top>
      <bottom style="medium">
        <color auto="1"/>
      </bottom>
      <diagonal/>
    </border>
    <border>
      <left style="hair">
        <color indexed="64"/>
      </left>
      <right style="medium">
        <color auto="1"/>
      </right>
      <top style="hair">
        <color indexed="64"/>
      </top>
      <bottom style="medium">
        <color auto="1"/>
      </bottom>
      <diagonal/>
    </border>
    <border>
      <left style="medium">
        <color indexed="64"/>
      </left>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20">
    <xf numFmtId="0" fontId="0" fillId="0" borderId="0"/>
    <xf numFmtId="9" fontId="2" fillId="0" borderId="0" applyFont="0" applyFill="0" applyBorder="0" applyAlignment="0" applyProtection="0"/>
    <xf numFmtId="9" fontId="10" fillId="0" borderId="0" applyFont="0" applyFill="0" applyBorder="0" applyAlignment="0" applyProtection="0"/>
    <xf numFmtId="0" fontId="5" fillId="0" borderId="0"/>
    <xf numFmtId="43" fontId="5"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11" fillId="2" borderId="0" applyNumberFormat="0" applyBorder="0" applyAlignment="0" applyProtection="0"/>
    <xf numFmtId="0" fontId="16" fillId="0" borderId="0"/>
    <xf numFmtId="9" fontId="16"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0" fontId="11" fillId="2" borderId="0" applyNumberFormat="0" applyBorder="0" applyAlignment="0" applyProtection="0"/>
    <xf numFmtId="0" fontId="2" fillId="0" borderId="0"/>
    <xf numFmtId="9"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cellStyleXfs>
  <cellXfs count="938">
    <xf numFmtId="0" fontId="0" fillId="0" borderId="0" xfId="0"/>
    <xf numFmtId="0" fontId="2" fillId="0" borderId="0" xfId="0" applyFont="1"/>
    <xf numFmtId="167" fontId="2" fillId="0" borderId="0" xfId="0" applyNumberFormat="1" applyFont="1"/>
    <xf numFmtId="0" fontId="6" fillId="0" borderId="0" xfId="0" applyFont="1"/>
    <xf numFmtId="0" fontId="15" fillId="0" borderId="0" xfId="8" applyFont="1" applyAlignment="1" applyProtection="1">
      <alignment vertical="top"/>
      <protection locked="0"/>
    </xf>
    <xf numFmtId="0" fontId="17" fillId="0" borderId="0" xfId="8" applyFont="1"/>
    <xf numFmtId="0" fontId="17" fillId="0" borderId="1" xfId="8" applyFont="1" applyBorder="1"/>
    <xf numFmtId="0" fontId="17" fillId="0" borderId="9" xfId="8" applyFont="1" applyBorder="1"/>
    <xf numFmtId="0" fontId="17" fillId="0" borderId="25" xfId="8" applyFont="1" applyBorder="1"/>
    <xf numFmtId="0" fontId="17" fillId="0" borderId="0" xfId="8" applyFont="1" applyAlignment="1">
      <alignment wrapText="1"/>
    </xf>
    <xf numFmtId="3" fontId="17" fillId="0" borderId="0" xfId="8" applyNumberFormat="1" applyFont="1"/>
    <xf numFmtId="0" fontId="18" fillId="0" borderId="0" xfId="8" applyFont="1" applyAlignment="1">
      <alignment wrapText="1"/>
    </xf>
    <xf numFmtId="0" fontId="18" fillId="0" borderId="0" xfId="8" applyFont="1"/>
    <xf numFmtId="0" fontId="17" fillId="0" borderId="0" xfId="8" applyFont="1" applyAlignment="1" applyProtection="1">
      <alignment vertical="top"/>
      <protection locked="0"/>
    </xf>
    <xf numFmtId="0" fontId="18" fillId="0" borderId="9" xfId="8" applyFont="1" applyBorder="1" applyAlignment="1">
      <alignment wrapText="1"/>
    </xf>
    <xf numFmtId="0" fontId="18" fillId="0" borderId="1" xfId="8" applyFont="1" applyBorder="1"/>
    <xf numFmtId="0" fontId="18" fillId="0" borderId="9" xfId="8" applyFont="1" applyBorder="1"/>
    <xf numFmtId="0" fontId="3" fillId="0" borderId="15" xfId="0" applyFont="1" applyBorder="1"/>
    <xf numFmtId="0" fontId="19" fillId="4" borderId="9"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34" xfId="0" applyFont="1" applyFill="1" applyBorder="1" applyAlignment="1">
      <alignment horizontal="center" vertical="center"/>
    </xf>
    <xf numFmtId="1" fontId="5" fillId="0" borderId="36" xfId="0" applyNumberFormat="1" applyFont="1" applyBorder="1" applyAlignment="1">
      <alignment horizontal="left"/>
    </xf>
    <xf numFmtId="1" fontId="5" fillId="0" borderId="0" xfId="0" applyNumberFormat="1" applyFont="1" applyAlignment="1">
      <alignment horizontal="center"/>
    </xf>
    <xf numFmtId="0" fontId="19" fillId="4" borderId="9" xfId="0" applyFont="1" applyFill="1" applyBorder="1"/>
    <xf numFmtId="165" fontId="5" fillId="5" borderId="36" xfId="0" applyNumberFormat="1" applyFont="1" applyFill="1" applyBorder="1" applyAlignment="1">
      <alignment horizontal="center"/>
    </xf>
    <xf numFmtId="1" fontId="5" fillId="0" borderId="38" xfId="0" applyNumberFormat="1" applyFont="1" applyBorder="1" applyAlignment="1">
      <alignment horizontal="left"/>
    </xf>
    <xf numFmtId="0" fontId="5" fillId="0" borderId="1" xfId="0" applyFont="1" applyBorder="1"/>
    <xf numFmtId="1" fontId="5" fillId="0" borderId="41" xfId="0" applyNumberFormat="1" applyFont="1" applyBorder="1" applyAlignment="1">
      <alignment horizontal="left"/>
    </xf>
    <xf numFmtId="0" fontId="5" fillId="0" borderId="0" xfId="0" applyFont="1"/>
    <xf numFmtId="166" fontId="5" fillId="0" borderId="38" xfId="0" applyNumberFormat="1" applyFont="1" applyBorder="1" applyAlignment="1">
      <alignment horizontal="center"/>
    </xf>
    <xf numFmtId="166" fontId="5" fillId="4" borderId="9" xfId="0" applyNumberFormat="1" applyFont="1" applyFill="1" applyBorder="1" applyAlignment="1">
      <alignment horizontal="center" vertical="center"/>
    </xf>
    <xf numFmtId="0" fontId="2" fillId="0" borderId="0" xfId="0" applyFont="1" applyAlignment="1">
      <alignment horizontal="center"/>
    </xf>
    <xf numFmtId="0" fontId="2" fillId="0" borderId="2" xfId="0" applyFont="1" applyBorder="1"/>
    <xf numFmtId="0" fontId="2" fillId="0" borderId="6" xfId="0" applyFont="1" applyBorder="1"/>
    <xf numFmtId="0" fontId="2" fillId="0" borderId="11" xfId="0" applyFont="1" applyBorder="1"/>
    <xf numFmtId="0" fontId="2" fillId="0" borderId="15" xfId="0" applyFont="1" applyBorder="1"/>
    <xf numFmtId="0" fontId="2" fillId="0" borderId="14" xfId="0" applyFont="1" applyBorder="1"/>
    <xf numFmtId="0" fontId="2" fillId="0" borderId="21" xfId="0" applyFont="1" applyBorder="1"/>
    <xf numFmtId="0" fontId="2" fillId="0" borderId="7" xfId="0" applyFont="1" applyBorder="1"/>
    <xf numFmtId="0" fontId="4" fillId="0" borderId="0" xfId="0" applyFont="1"/>
    <xf numFmtId="0" fontId="2" fillId="0" borderId="19" xfId="0" applyFont="1" applyBorder="1"/>
    <xf numFmtId="0" fontId="2" fillId="0" borderId="44" xfId="0" applyFont="1" applyBorder="1" applyAlignment="1">
      <alignment horizontal="center" wrapText="1"/>
    </xf>
    <xf numFmtId="0" fontId="2" fillId="0" borderId="44" xfId="0" applyFont="1" applyBorder="1" applyAlignment="1">
      <alignment horizontal="center"/>
    </xf>
    <xf numFmtId="0" fontId="2" fillId="0" borderId="44" xfId="0" applyFont="1" applyBorder="1"/>
    <xf numFmtId="2" fontId="2" fillId="0" borderId="44" xfId="0" applyNumberFormat="1" applyFont="1" applyBorder="1" applyAlignment="1">
      <alignment horizontal="center"/>
    </xf>
    <xf numFmtId="0" fontId="2" fillId="0" borderId="45" xfId="0" applyFont="1" applyBorder="1"/>
    <xf numFmtId="0" fontId="2" fillId="0" borderId="45" xfId="0" applyFont="1" applyBorder="1" applyAlignment="1">
      <alignment horizontal="center" wrapText="1"/>
    </xf>
    <xf numFmtId="0" fontId="2" fillId="0" borderId="45" xfId="0" applyFont="1" applyBorder="1" applyAlignment="1">
      <alignment horizontal="center"/>
    </xf>
    <xf numFmtId="1" fontId="2" fillId="0" borderId="45" xfId="0" applyNumberFormat="1" applyFont="1" applyBorder="1" applyAlignment="1">
      <alignment horizontal="center" wrapText="1"/>
    </xf>
    <xf numFmtId="0" fontId="2" fillId="0" borderId="46" xfId="0" applyFont="1" applyBorder="1"/>
    <xf numFmtId="1" fontId="2" fillId="0" borderId="47" xfId="0" applyNumberFormat="1" applyFont="1" applyBorder="1" applyAlignment="1">
      <alignment horizontal="center" wrapText="1"/>
    </xf>
    <xf numFmtId="0" fontId="2" fillId="0" borderId="48" xfId="0" applyFont="1" applyBorder="1"/>
    <xf numFmtId="2" fontId="2" fillId="0" borderId="49" xfId="0" applyNumberFormat="1" applyFont="1" applyBorder="1" applyAlignment="1">
      <alignment horizontal="center"/>
    </xf>
    <xf numFmtId="0" fontId="4" fillId="0" borderId="0" xfId="0" applyFont="1" applyAlignment="1">
      <alignment horizontal="center"/>
    </xf>
    <xf numFmtId="165" fontId="2" fillId="0" borderId="0" xfId="5" applyFont="1" applyFill="1" applyBorder="1" applyAlignment="1"/>
    <xf numFmtId="165" fontId="2" fillId="0" borderId="0" xfId="5" applyFont="1" applyFill="1" applyBorder="1" applyAlignment="1">
      <alignment horizontal="center"/>
    </xf>
    <xf numFmtId="0" fontId="9" fillId="0" borderId="0" xfId="0" applyFont="1"/>
    <xf numFmtId="166" fontId="22" fillId="0" borderId="0" xfId="0" applyNumberFormat="1" applyFont="1" applyAlignment="1">
      <alignment horizontal="center"/>
    </xf>
    <xf numFmtId="0" fontId="4" fillId="0" borderId="44" xfId="0" applyFont="1" applyBorder="1"/>
    <xf numFmtId="0" fontId="20" fillId="0" borderId="44" xfId="0" applyFont="1" applyBorder="1" applyAlignment="1">
      <alignment horizontal="center" wrapText="1"/>
    </xf>
    <xf numFmtId="1" fontId="2" fillId="0" borderId="44" xfId="0" applyNumberFormat="1" applyFont="1" applyBorder="1" applyAlignment="1">
      <alignment horizontal="left"/>
    </xf>
    <xf numFmtId="9" fontId="2" fillId="0" borderId="44" xfId="1" applyFont="1" applyFill="1" applyBorder="1" applyAlignment="1">
      <alignment horizontal="center"/>
    </xf>
    <xf numFmtId="0" fontId="2" fillId="0" borderId="49" xfId="0" applyFont="1" applyBorder="1" applyAlignment="1">
      <alignment horizontal="center"/>
    </xf>
    <xf numFmtId="1" fontId="2" fillId="0" borderId="48" xfId="0" applyNumberFormat="1" applyFont="1" applyBorder="1" applyAlignment="1">
      <alignment horizontal="left"/>
    </xf>
    <xf numFmtId="0" fontId="2" fillId="0" borderId="50" xfId="0" applyFont="1" applyBorder="1"/>
    <xf numFmtId="0" fontId="2" fillId="0" borderId="51" xfId="0" applyFont="1" applyBorder="1"/>
    <xf numFmtId="0" fontId="4" fillId="0" borderId="15" xfId="0" applyFont="1" applyBorder="1"/>
    <xf numFmtId="165" fontId="5" fillId="0" borderId="37" xfId="12" applyFont="1" applyFill="1" applyBorder="1" applyAlignment="1">
      <alignment horizontal="center"/>
    </xf>
    <xf numFmtId="0" fontId="4" fillId="0" borderId="12" xfId="0" applyFont="1" applyBorder="1"/>
    <xf numFmtId="0" fontId="4" fillId="0" borderId="11" xfId="0" applyFont="1" applyBorder="1"/>
    <xf numFmtId="0" fontId="4" fillId="0" borderId="11" xfId="0" applyFont="1" applyBorder="1" applyAlignment="1">
      <alignment horizontal="center"/>
    </xf>
    <xf numFmtId="2" fontId="2" fillId="0" borderId="11" xfId="6" applyNumberFormat="1" applyFont="1" applyFill="1" applyBorder="1" applyAlignment="1">
      <alignment horizontal="center" vertical="center"/>
    </xf>
    <xf numFmtId="165" fontId="2" fillId="0" borderId="11" xfId="5" applyFont="1" applyFill="1" applyBorder="1" applyAlignment="1"/>
    <xf numFmtId="2" fontId="4" fillId="0" borderId="15" xfId="0" applyNumberFormat="1" applyFont="1" applyBorder="1" applyAlignment="1">
      <alignment horizontal="center"/>
    </xf>
    <xf numFmtId="2" fontId="2" fillId="0" borderId="15" xfId="0" applyNumberFormat="1" applyFont="1" applyBorder="1" applyAlignment="1">
      <alignment horizontal="center"/>
    </xf>
    <xf numFmtId="168" fontId="4" fillId="0" borderId="14" xfId="0" applyNumberFormat="1" applyFont="1" applyBorder="1"/>
    <xf numFmtId="0" fontId="4" fillId="0" borderId="20" xfId="0" applyFont="1" applyBorder="1"/>
    <xf numFmtId="0" fontId="6" fillId="0" borderId="14" xfId="0" applyFont="1" applyBorder="1"/>
    <xf numFmtId="0" fontId="2" fillId="0" borderId="14" xfId="0" applyFont="1" applyBorder="1" applyAlignment="1">
      <alignment horizontal="center"/>
    </xf>
    <xf numFmtId="0" fontId="9" fillId="0" borderId="15" xfId="0" applyFont="1" applyBorder="1"/>
    <xf numFmtId="2" fontId="22" fillId="0" borderId="14" xfId="0" applyNumberFormat="1" applyFont="1" applyBorder="1" applyAlignment="1">
      <alignment horizontal="center"/>
    </xf>
    <xf numFmtId="166" fontId="5" fillId="0" borderId="39" xfId="0" applyNumberFormat="1" applyFont="1" applyBorder="1" applyAlignment="1">
      <alignment horizontal="center"/>
    </xf>
    <xf numFmtId="0" fontId="6" fillId="4" borderId="4" xfId="0" applyFont="1" applyFill="1" applyBorder="1"/>
    <xf numFmtId="0" fontId="6" fillId="4" borderId="5" xfId="0" applyFont="1" applyFill="1" applyBorder="1"/>
    <xf numFmtId="0" fontId="3" fillId="4" borderId="8" xfId="0" applyFont="1" applyFill="1" applyBorder="1"/>
    <xf numFmtId="0" fontId="3" fillId="4" borderId="4" xfId="0" applyFont="1" applyFill="1" applyBorder="1"/>
    <xf numFmtId="166" fontId="24" fillId="4" borderId="4" xfId="0" applyNumberFormat="1" applyFont="1" applyFill="1" applyBorder="1" applyAlignment="1">
      <alignment horizontal="center"/>
    </xf>
    <xf numFmtId="2" fontId="24" fillId="4" borderId="5" xfId="0" applyNumberFormat="1" applyFont="1" applyFill="1" applyBorder="1" applyAlignment="1">
      <alignment horizontal="center"/>
    </xf>
    <xf numFmtId="0" fontId="3" fillId="4" borderId="12" xfId="0" applyFont="1" applyFill="1" applyBorder="1"/>
    <xf numFmtId="0" fontId="6" fillId="4" borderId="11" xfId="0" applyFont="1" applyFill="1" applyBorder="1"/>
    <xf numFmtId="167" fontId="6" fillId="4" borderId="11" xfId="0" applyNumberFormat="1" applyFont="1" applyFill="1" applyBorder="1"/>
    <xf numFmtId="0" fontId="6" fillId="4" borderId="11" xfId="0" applyFont="1" applyFill="1" applyBorder="1" applyAlignment="1">
      <alignment horizontal="center"/>
    </xf>
    <xf numFmtId="0" fontId="6" fillId="4" borderId="10" xfId="0" applyFont="1" applyFill="1" applyBorder="1" applyAlignment="1">
      <alignment horizontal="center"/>
    </xf>
    <xf numFmtId="167" fontId="6" fillId="4" borderId="4" xfId="0" applyNumberFormat="1" applyFont="1" applyFill="1" applyBorder="1"/>
    <xf numFmtId="0" fontId="6" fillId="4" borderId="4" xfId="0" applyFont="1" applyFill="1" applyBorder="1" applyAlignment="1">
      <alignment horizontal="center"/>
    </xf>
    <xf numFmtId="0" fontId="6" fillId="4" borderId="5" xfId="0" applyFont="1" applyFill="1" applyBorder="1" applyAlignment="1">
      <alignment horizontal="center"/>
    </xf>
    <xf numFmtId="2" fontId="3" fillId="4" borderId="4" xfId="0" applyNumberFormat="1" applyFont="1" applyFill="1" applyBorder="1"/>
    <xf numFmtId="0" fontId="3" fillId="4" borderId="53" xfId="0" applyFont="1" applyFill="1" applyBorder="1"/>
    <xf numFmtId="0" fontId="3" fillId="4" borderId="54" xfId="0" applyFont="1" applyFill="1" applyBorder="1"/>
    <xf numFmtId="0" fontId="2" fillId="4" borderId="54" xfId="0" applyFont="1" applyFill="1" applyBorder="1"/>
    <xf numFmtId="0" fontId="3" fillId="4" borderId="56" xfId="0" applyFont="1" applyFill="1" applyBorder="1"/>
    <xf numFmtId="0" fontId="3" fillId="4" borderId="57" xfId="0" applyFont="1" applyFill="1" applyBorder="1"/>
    <xf numFmtId="0" fontId="2" fillId="4" borderId="57" xfId="0" applyFont="1" applyFill="1" applyBorder="1"/>
    <xf numFmtId="2" fontId="3" fillId="4" borderId="4" xfId="0" applyNumberFormat="1" applyFont="1" applyFill="1" applyBorder="1" applyAlignment="1">
      <alignment horizontal="center"/>
    </xf>
    <xf numFmtId="0" fontId="5" fillId="0" borderId="0" xfId="0" applyFont="1" applyAlignment="1">
      <alignment horizontal="center"/>
    </xf>
    <xf numFmtId="0" fontId="6" fillId="0" borderId="0" xfId="0" applyFont="1" applyAlignment="1">
      <alignment vertical="top"/>
    </xf>
    <xf numFmtId="0" fontId="15" fillId="0" borderId="22" xfId="8" applyFont="1" applyBorder="1" applyAlignment="1">
      <alignment wrapText="1"/>
    </xf>
    <xf numFmtId="0" fontId="15" fillId="0" borderId="1" xfId="8" applyFont="1" applyBorder="1"/>
    <xf numFmtId="0" fontId="15" fillId="0" borderId="0" xfId="8" applyFont="1"/>
    <xf numFmtId="0" fontId="18" fillId="0" borderId="22" xfId="8" applyFont="1" applyBorder="1" applyAlignment="1">
      <alignment wrapText="1"/>
    </xf>
    <xf numFmtId="3" fontId="18" fillId="0" borderId="22" xfId="8" applyNumberFormat="1" applyFont="1" applyBorder="1" applyAlignment="1">
      <alignment wrapText="1"/>
    </xf>
    <xf numFmtId="0" fontId="15" fillId="0" borderId="9" xfId="8" applyFont="1" applyBorder="1" applyAlignment="1">
      <alignment wrapText="1"/>
    </xf>
    <xf numFmtId="0" fontId="15" fillId="0" borderId="9" xfId="8" applyFont="1" applyBorder="1"/>
    <xf numFmtId="3" fontId="15" fillId="0" borderId="9" xfId="8" applyNumberFormat="1" applyFont="1" applyBorder="1"/>
    <xf numFmtId="10" fontId="25" fillId="0" borderId="9" xfId="9" applyNumberFormat="1" applyFont="1" applyBorder="1" applyAlignment="1"/>
    <xf numFmtId="0" fontId="15" fillId="0" borderId="24" xfId="8" applyFont="1" applyBorder="1" applyAlignment="1">
      <alignment horizontal="left" wrapText="1" indent="1"/>
    </xf>
    <xf numFmtId="0" fontId="15" fillId="0" borderId="24" xfId="8" applyFont="1" applyBorder="1"/>
    <xf numFmtId="0" fontId="15" fillId="0" borderId="18" xfId="8" applyFont="1" applyBorder="1" applyAlignment="1">
      <alignment horizontal="left" wrapText="1" indent="1"/>
    </xf>
    <xf numFmtId="0" fontId="15" fillId="0" borderId="18" xfId="8" applyFont="1" applyBorder="1"/>
    <xf numFmtId="0" fontId="15" fillId="0" borderId="17" xfId="8" applyFont="1" applyBorder="1" applyAlignment="1">
      <alignment horizontal="left" wrapText="1" indent="1"/>
    </xf>
    <xf numFmtId="0" fontId="15" fillId="0" borderId="17" xfId="8" applyFont="1" applyBorder="1"/>
    <xf numFmtId="43" fontId="15" fillId="0" borderId="17" xfId="10" applyFont="1" applyBorder="1" applyAlignment="1"/>
    <xf numFmtId="0" fontId="25" fillId="0" borderId="24" xfId="8" applyFont="1" applyBorder="1"/>
    <xf numFmtId="43" fontId="15" fillId="0" borderId="24" xfId="10" applyFont="1" applyBorder="1" applyAlignment="1"/>
    <xf numFmtId="43" fontId="15" fillId="0" borderId="18" xfId="10" applyFont="1" applyBorder="1" applyAlignment="1"/>
    <xf numFmtId="0" fontId="15" fillId="0" borderId="18" xfId="8" applyFont="1" applyBorder="1" applyAlignment="1">
      <alignment horizontal="right"/>
    </xf>
    <xf numFmtId="0" fontId="25" fillId="0" borderId="18" xfId="8" applyFont="1" applyBorder="1"/>
    <xf numFmtId="0" fontId="15" fillId="0" borderId="23" xfId="8" applyFont="1" applyBorder="1" applyAlignment="1">
      <alignment horizontal="left" wrapText="1" indent="1"/>
    </xf>
    <xf numFmtId="0" fontId="15" fillId="0" borderId="9" xfId="8" applyFont="1" applyBorder="1" applyAlignment="1">
      <alignment horizontal="left" wrapText="1" indent="1"/>
    </xf>
    <xf numFmtId="43" fontId="15" fillId="0" borderId="9" xfId="10" applyFont="1" applyBorder="1" applyAlignment="1"/>
    <xf numFmtId="0" fontId="15" fillId="0" borderId="24" xfId="8" applyFont="1" applyBorder="1" applyAlignment="1">
      <alignment horizontal="right"/>
    </xf>
    <xf numFmtId="0" fontId="15" fillId="0" borderId="23" xfId="8" applyFont="1" applyBorder="1" applyAlignment="1">
      <alignment wrapText="1"/>
    </xf>
    <xf numFmtId="0" fontId="15" fillId="0" borderId="23" xfId="8" applyFont="1" applyBorder="1"/>
    <xf numFmtId="0" fontId="15" fillId="0" borderId="22" xfId="8" applyFont="1" applyBorder="1"/>
    <xf numFmtId="0" fontId="23" fillId="0" borderId="0" xfId="8" applyFont="1"/>
    <xf numFmtId="0" fontId="15" fillId="0" borderId="25" xfId="8" applyFont="1" applyBorder="1" applyAlignment="1">
      <alignment wrapText="1"/>
    </xf>
    <xf numFmtId="0" fontId="15" fillId="0" borderId="25" xfId="8" applyFont="1" applyBorder="1"/>
    <xf numFmtId="0" fontId="17" fillId="0" borderId="1" xfId="8" applyFont="1" applyBorder="1" applyAlignment="1">
      <alignment wrapText="1"/>
    </xf>
    <xf numFmtId="0" fontId="17" fillId="0" borderId="16" xfId="8" applyFont="1" applyBorder="1"/>
    <xf numFmtId="0" fontId="3" fillId="0" borderId="59" xfId="8" applyFont="1" applyBorder="1" applyAlignment="1" applyProtection="1">
      <alignment vertical="top" wrapText="1"/>
      <protection locked="0"/>
    </xf>
    <xf numFmtId="0" fontId="3" fillId="7" borderId="60" xfId="8" applyFont="1" applyFill="1" applyBorder="1" applyAlignment="1" applyProtection="1">
      <alignment horizontal="center"/>
      <protection locked="0"/>
    </xf>
    <xf numFmtId="0" fontId="18" fillId="6" borderId="60" xfId="8" applyFont="1" applyFill="1" applyBorder="1" applyAlignment="1" applyProtection="1">
      <alignment vertical="top"/>
      <protection locked="0"/>
    </xf>
    <xf numFmtId="0" fontId="17" fillId="6" borderId="60" xfId="8" applyFont="1" applyFill="1" applyBorder="1" applyAlignment="1" applyProtection="1">
      <alignment vertical="top"/>
      <protection locked="0"/>
    </xf>
    <xf numFmtId="3" fontId="17" fillId="0" borderId="60" xfId="8" applyNumberFormat="1" applyFont="1" applyBorder="1" applyAlignment="1" applyProtection="1">
      <alignment vertical="top"/>
      <protection locked="0"/>
    </xf>
    <xf numFmtId="0" fontId="17" fillId="0" borderId="60" xfId="8" applyFont="1" applyBorder="1" applyAlignment="1" applyProtection="1">
      <alignment vertical="top"/>
      <protection locked="0"/>
    </xf>
    <xf numFmtId="0" fontId="17" fillId="0" borderId="34" xfId="8" applyFont="1" applyBorder="1" applyAlignment="1" applyProtection="1">
      <alignment vertical="top"/>
      <protection locked="0"/>
    </xf>
    <xf numFmtId="167" fontId="3" fillId="4" borderId="55" xfId="1" applyNumberFormat="1" applyFont="1" applyFill="1" applyBorder="1"/>
    <xf numFmtId="0" fontId="3" fillId="7" borderId="8" xfId="0" applyFont="1" applyFill="1" applyBorder="1"/>
    <xf numFmtId="0" fontId="3" fillId="7" borderId="4" xfId="0" applyFont="1" applyFill="1" applyBorder="1"/>
    <xf numFmtId="166" fontId="24" fillId="7" borderId="4" xfId="0" applyNumberFormat="1" applyFont="1" applyFill="1" applyBorder="1" applyAlignment="1">
      <alignment horizontal="center"/>
    </xf>
    <xf numFmtId="2" fontId="24" fillId="7" borderId="5" xfId="0" applyNumberFormat="1" applyFont="1" applyFill="1" applyBorder="1" applyAlignment="1">
      <alignment horizontal="center"/>
    </xf>
    <xf numFmtId="0" fontId="2" fillId="7" borderId="0" xfId="0" applyFont="1" applyFill="1"/>
    <xf numFmtId="3" fontId="5" fillId="5" borderId="38" xfId="0" applyNumberFormat="1" applyFont="1" applyFill="1" applyBorder="1" applyAlignment="1">
      <alignment horizontal="center"/>
    </xf>
    <xf numFmtId="168" fontId="5" fillId="0" borderId="22" xfId="12" applyNumberFormat="1" applyFont="1" applyFill="1" applyBorder="1" applyAlignment="1">
      <alignment horizontal="center"/>
    </xf>
    <xf numFmtId="165" fontId="5" fillId="7" borderId="36" xfId="0" applyNumberFormat="1" applyFont="1" applyFill="1" applyBorder="1" applyAlignment="1">
      <alignment horizontal="center"/>
    </xf>
    <xf numFmtId="0" fontId="5" fillId="7" borderId="37" xfId="0" applyFont="1" applyFill="1" applyBorder="1" applyAlignment="1">
      <alignment horizontal="center"/>
    </xf>
    <xf numFmtId="0" fontId="0" fillId="7" borderId="0" xfId="0" applyFill="1"/>
    <xf numFmtId="3" fontId="5" fillId="0" borderId="16" xfId="0" applyNumberFormat="1" applyFont="1" applyBorder="1" applyAlignment="1">
      <alignment horizontal="center"/>
    </xf>
    <xf numFmtId="0" fontId="5" fillId="0" borderId="16" xfId="0" applyFont="1" applyBorder="1" applyAlignment="1">
      <alignment horizontal="center"/>
    </xf>
    <xf numFmtId="0" fontId="19" fillId="0" borderId="1" xfId="0" applyFont="1" applyBorder="1"/>
    <xf numFmtId="2" fontId="5" fillId="0" borderId="23" xfId="0" applyNumberFormat="1" applyFont="1" applyBorder="1" applyAlignment="1">
      <alignment horizontal="center" vertical="center"/>
    </xf>
    <xf numFmtId="166" fontId="5" fillId="0" borderId="16" xfId="0" applyNumberFormat="1" applyFont="1" applyBorder="1" applyAlignment="1">
      <alignment horizontal="center" vertical="center"/>
    </xf>
    <xf numFmtId="49" fontId="5" fillId="0" borderId="38" xfId="0" applyNumberFormat="1" applyFont="1" applyBorder="1" applyAlignment="1">
      <alignment horizontal="left"/>
    </xf>
    <xf numFmtId="167" fontId="5" fillId="0" borderId="38" xfId="0" applyNumberFormat="1" applyFont="1" applyBorder="1" applyAlignment="1">
      <alignment horizontal="center"/>
    </xf>
    <xf numFmtId="10" fontId="5" fillId="0" borderId="41" xfId="12" applyNumberFormat="1" applyFont="1" applyFill="1" applyBorder="1" applyAlignment="1">
      <alignment horizontal="center"/>
    </xf>
    <xf numFmtId="2" fontId="5" fillId="0" borderId="38" xfId="0" applyNumberFormat="1" applyFont="1" applyBorder="1" applyAlignment="1">
      <alignment horizontal="left"/>
    </xf>
    <xf numFmtId="167" fontId="5" fillId="0" borderId="41" xfId="0" applyNumberFormat="1" applyFont="1" applyBorder="1" applyAlignment="1">
      <alignment horizontal="center"/>
    </xf>
    <xf numFmtId="166" fontId="5" fillId="0" borderId="42" xfId="0" applyNumberFormat="1" applyFont="1" applyBorder="1" applyAlignment="1">
      <alignment horizontal="center"/>
    </xf>
    <xf numFmtId="0" fontId="19" fillId="4" borderId="61" xfId="0" applyFont="1" applyFill="1" applyBorder="1"/>
    <xf numFmtId="0" fontId="5" fillId="0" borderId="63" xfId="0" applyFont="1" applyBorder="1"/>
    <xf numFmtId="0" fontId="5" fillId="0" borderId="64" xfId="0" applyFont="1" applyBorder="1"/>
    <xf numFmtId="0" fontId="5" fillId="0" borderId="62" xfId="0" applyFont="1" applyBorder="1"/>
    <xf numFmtId="0" fontId="5" fillId="0" borderId="65" xfId="0" applyFont="1" applyBorder="1"/>
    <xf numFmtId="165" fontId="5" fillId="0" borderId="17" xfId="0" applyNumberFormat="1" applyFont="1" applyBorder="1"/>
    <xf numFmtId="3" fontId="2" fillId="0" borderId="44" xfId="0" applyNumberFormat="1" applyFont="1" applyBorder="1" applyAlignment="1">
      <alignment horizontal="center"/>
    </xf>
    <xf numFmtId="0" fontId="2" fillId="0" borderId="0" xfId="0" applyFont="1" applyAlignment="1">
      <alignment horizontal="left"/>
    </xf>
    <xf numFmtId="0" fontId="3" fillId="0" borderId="8" xfId="0" applyFont="1" applyBorder="1"/>
    <xf numFmtId="0" fontId="3" fillId="0" borderId="4" xfId="0" applyFont="1" applyBorder="1"/>
    <xf numFmtId="2" fontId="3" fillId="0" borderId="4" xfId="0" applyNumberFormat="1" applyFont="1" applyBorder="1" applyAlignment="1">
      <alignment horizontal="center"/>
    </xf>
    <xf numFmtId="3" fontId="2" fillId="0" borderId="44" xfId="0" applyNumberFormat="1" applyFont="1" applyBorder="1" applyAlignment="1">
      <alignment horizontal="right"/>
    </xf>
    <xf numFmtId="0" fontId="18" fillId="0" borderId="25" xfId="8" applyFont="1" applyBorder="1" applyAlignment="1">
      <alignment wrapText="1"/>
    </xf>
    <xf numFmtId="164" fontId="15" fillId="0" borderId="24" xfId="8" applyNumberFormat="1" applyFont="1" applyBorder="1"/>
    <xf numFmtId="164" fontId="15" fillId="0" borderId="18" xfId="8" applyNumberFormat="1" applyFont="1" applyBorder="1"/>
    <xf numFmtId="164" fontId="15" fillId="0" borderId="17" xfId="8" applyNumberFormat="1" applyFont="1" applyBorder="1"/>
    <xf numFmtId="164" fontId="15" fillId="0" borderId="17" xfId="10" applyNumberFormat="1" applyFont="1" applyBorder="1" applyAlignment="1"/>
    <xf numFmtId="0" fontId="8" fillId="0" borderId="61" xfId="0" applyFont="1" applyBorder="1"/>
    <xf numFmtId="0" fontId="7" fillId="0" borderId="29" xfId="0" applyFont="1" applyBorder="1"/>
    <xf numFmtId="0" fontId="2" fillId="0" borderId="29" xfId="0" applyFont="1" applyBorder="1"/>
    <xf numFmtId="0" fontId="8" fillId="0" borderId="29" xfId="0" applyFont="1" applyBorder="1"/>
    <xf numFmtId="0" fontId="8" fillId="0" borderId="40" xfId="0" applyFont="1" applyBorder="1"/>
    <xf numFmtId="0" fontId="17" fillId="0" borderId="29" xfId="8" applyFont="1" applyBorder="1"/>
    <xf numFmtId="164" fontId="5" fillId="0" borderId="38" xfId="12" applyNumberFormat="1" applyFont="1" applyFill="1" applyBorder="1" applyAlignment="1">
      <alignment horizontal="center"/>
    </xf>
    <xf numFmtId="164" fontId="5" fillId="0" borderId="37" xfId="12" applyNumberFormat="1" applyFont="1" applyFill="1" applyBorder="1" applyAlignment="1">
      <alignment horizontal="center"/>
    </xf>
    <xf numFmtId="3" fontId="5" fillId="0" borderId="23" xfId="0" applyNumberFormat="1" applyFont="1" applyBorder="1" applyAlignment="1">
      <alignment horizontal="center"/>
    </xf>
    <xf numFmtId="167" fontId="5" fillId="0" borderId="17" xfId="0" applyNumberFormat="1" applyFont="1" applyBorder="1" applyAlignment="1">
      <alignment horizontal="center"/>
    </xf>
    <xf numFmtId="167" fontId="5" fillId="0" borderId="35" xfId="0" applyNumberFormat="1" applyFont="1" applyBorder="1" applyAlignment="1">
      <alignment horizontal="right"/>
    </xf>
    <xf numFmtId="167" fontId="5" fillId="0" borderId="37" xfId="0" applyNumberFormat="1" applyFont="1" applyBorder="1" applyAlignment="1">
      <alignment horizontal="right"/>
    </xf>
    <xf numFmtId="167" fontId="5" fillId="5" borderId="39" xfId="0" applyNumberFormat="1" applyFont="1" applyFill="1" applyBorder="1" applyAlignment="1">
      <alignment horizontal="right"/>
    </xf>
    <xf numFmtId="167" fontId="5" fillId="0" borderId="16" xfId="0" applyNumberFormat="1" applyFont="1" applyBorder="1" applyAlignment="1">
      <alignment horizontal="right"/>
    </xf>
    <xf numFmtId="167" fontId="5" fillId="0" borderId="41" xfId="0" applyNumberFormat="1" applyFont="1" applyBorder="1" applyAlignment="1">
      <alignment horizontal="right"/>
    </xf>
    <xf numFmtId="167" fontId="5" fillId="0" borderId="42" xfId="0" applyNumberFormat="1" applyFont="1" applyBorder="1" applyAlignment="1">
      <alignment horizontal="right"/>
    </xf>
    <xf numFmtId="167" fontId="5" fillId="4" borderId="40" xfId="0" applyNumberFormat="1" applyFont="1" applyFill="1" applyBorder="1" applyAlignment="1">
      <alignment horizontal="right" vertical="center"/>
    </xf>
    <xf numFmtId="167" fontId="5" fillId="0" borderId="39" xfId="0" applyNumberFormat="1" applyFont="1" applyBorder="1" applyAlignment="1">
      <alignment horizontal="right"/>
    </xf>
    <xf numFmtId="0" fontId="8" fillId="0" borderId="27" xfId="0" applyFont="1" applyBorder="1"/>
    <xf numFmtId="0" fontId="7" fillId="0" borderId="66" xfId="0" applyFont="1" applyBorder="1"/>
    <xf numFmtId="0" fontId="2" fillId="0" borderId="66" xfId="0" applyFont="1" applyBorder="1"/>
    <xf numFmtId="0" fontId="19" fillId="0" borderId="66" xfId="0" applyFont="1" applyBorder="1"/>
    <xf numFmtId="0" fontId="2" fillId="0" borderId="12" xfId="0" applyFont="1" applyBorder="1"/>
    <xf numFmtId="0" fontId="2" fillId="0" borderId="11" xfId="0" applyFont="1" applyBorder="1" applyAlignment="1">
      <alignment horizontal="center"/>
    </xf>
    <xf numFmtId="0" fontId="2" fillId="0" borderId="10" xfId="0" applyFont="1" applyBorder="1"/>
    <xf numFmtId="0" fontId="8" fillId="0" borderId="66" xfId="0" applyFont="1" applyBorder="1"/>
    <xf numFmtId="0" fontId="8" fillId="0" borderId="67" xfId="0" applyFont="1" applyBorder="1"/>
    <xf numFmtId="0" fontId="5" fillId="0" borderId="14"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vertical="center"/>
    </xf>
    <xf numFmtId="0" fontId="6" fillId="0" borderId="14" xfId="0" applyFont="1" applyBorder="1" applyAlignment="1">
      <alignment vertical="center"/>
    </xf>
    <xf numFmtId="0" fontId="19" fillId="4" borderId="33" xfId="0" applyFont="1" applyFill="1" applyBorder="1" applyAlignment="1">
      <alignment horizontal="left" vertical="center"/>
    </xf>
    <xf numFmtId="0" fontId="19" fillId="4" borderId="70" xfId="0" applyFont="1" applyFill="1" applyBorder="1" applyAlignment="1">
      <alignment horizontal="center" vertical="center"/>
    </xf>
    <xf numFmtId="0" fontId="19" fillId="4" borderId="73" xfId="0" applyFont="1" applyFill="1" applyBorder="1"/>
    <xf numFmtId="0" fontId="5" fillId="4" borderId="69" xfId="0" applyFont="1" applyFill="1" applyBorder="1" applyAlignment="1">
      <alignment horizontal="center" vertical="center"/>
    </xf>
    <xf numFmtId="1" fontId="5" fillId="0" borderId="2" xfId="0" applyNumberFormat="1" applyFont="1" applyBorder="1" applyAlignment="1">
      <alignment horizontal="left"/>
    </xf>
    <xf numFmtId="167" fontId="5" fillId="0" borderId="74" xfId="0" applyNumberFormat="1" applyFont="1" applyBorder="1" applyAlignment="1">
      <alignment horizontal="right"/>
    </xf>
    <xf numFmtId="1" fontId="5" fillId="0" borderId="75" xfId="0" applyNumberFormat="1" applyFont="1" applyBorder="1" applyAlignment="1">
      <alignment horizontal="left"/>
    </xf>
    <xf numFmtId="167" fontId="5" fillId="0" borderId="7" xfId="0" applyNumberFormat="1" applyFont="1" applyBorder="1" applyAlignment="1">
      <alignment horizontal="right"/>
    </xf>
    <xf numFmtId="1" fontId="5" fillId="5" borderId="2" xfId="0" applyNumberFormat="1" applyFont="1" applyFill="1" applyBorder="1" applyAlignment="1">
      <alignment horizontal="left"/>
    </xf>
    <xf numFmtId="167" fontId="5" fillId="5" borderId="13" xfId="0" applyNumberFormat="1" applyFont="1" applyFill="1" applyBorder="1" applyAlignment="1">
      <alignment horizontal="right"/>
    </xf>
    <xf numFmtId="1" fontId="5" fillId="5" borderId="75" xfId="0" applyNumberFormat="1" applyFont="1" applyFill="1" applyBorder="1" applyAlignment="1">
      <alignment horizontal="left"/>
    </xf>
    <xf numFmtId="0" fontId="5" fillId="0" borderId="15" xfId="0" applyFont="1" applyBorder="1"/>
    <xf numFmtId="1" fontId="5" fillId="0" borderId="14" xfId="0" applyNumberFormat="1" applyFont="1" applyBorder="1" applyAlignment="1">
      <alignment horizontal="center"/>
    </xf>
    <xf numFmtId="0" fontId="19" fillId="4" borderId="33" xfId="0" applyFont="1" applyFill="1" applyBorder="1"/>
    <xf numFmtId="166" fontId="5" fillId="4" borderId="70" xfId="0" applyNumberFormat="1" applyFont="1" applyFill="1" applyBorder="1" applyAlignment="1">
      <alignment horizontal="center" vertical="center"/>
    </xf>
    <xf numFmtId="1" fontId="5" fillId="7" borderId="2" xfId="0" applyNumberFormat="1" applyFont="1" applyFill="1" applyBorder="1" applyAlignment="1">
      <alignment horizontal="left"/>
    </xf>
    <xf numFmtId="0" fontId="5" fillId="7" borderId="7" xfId="0" applyFont="1" applyFill="1" applyBorder="1" applyAlignment="1">
      <alignment horizontal="center"/>
    </xf>
    <xf numFmtId="1" fontId="5" fillId="0" borderId="76" xfId="0" applyNumberFormat="1" applyFont="1" applyBorder="1" applyAlignment="1">
      <alignment horizontal="left"/>
    </xf>
    <xf numFmtId="0" fontId="5" fillId="0" borderId="77" xfId="0" applyFont="1" applyBorder="1"/>
    <xf numFmtId="2" fontId="5" fillId="0" borderId="41" xfId="0" applyNumberFormat="1" applyFont="1" applyBorder="1" applyAlignment="1">
      <alignment horizontal="left"/>
    </xf>
    <xf numFmtId="3" fontId="2" fillId="0" borderId="48" xfId="0" applyNumberFormat="1" applyFont="1" applyBorder="1" applyAlignment="1">
      <alignment horizontal="left"/>
    </xf>
    <xf numFmtId="4" fontId="2" fillId="0" borderId="49" xfId="0" applyNumberFormat="1" applyFont="1" applyBorder="1" applyAlignment="1">
      <alignment horizontal="center"/>
    </xf>
    <xf numFmtId="49" fontId="2" fillId="0" borderId="44" xfId="0" applyNumberFormat="1" applyFont="1" applyBorder="1" applyAlignment="1">
      <alignment horizontal="center"/>
    </xf>
    <xf numFmtId="0" fontId="4" fillId="0" borderId="2" xfId="0" applyFont="1" applyBorder="1"/>
    <xf numFmtId="0" fontId="4" fillId="0" borderId="6" xfId="0" applyFont="1" applyBorder="1"/>
    <xf numFmtId="166" fontId="4" fillId="0" borderId="6" xfId="0" applyNumberFormat="1" applyFont="1" applyBorder="1" applyAlignment="1">
      <alignment horizontal="center"/>
    </xf>
    <xf numFmtId="166" fontId="19" fillId="4" borderId="9" xfId="0" applyNumberFormat="1" applyFont="1" applyFill="1" applyBorder="1" applyAlignment="1" applyProtection="1">
      <alignment horizontal="center" vertical="center"/>
      <protection locked="0"/>
    </xf>
    <xf numFmtId="0" fontId="19" fillId="4" borderId="9" xfId="0" applyFont="1" applyFill="1" applyBorder="1" applyAlignment="1" applyProtection="1">
      <alignment horizontal="center" vertical="center"/>
      <protection locked="0"/>
    </xf>
    <xf numFmtId="166" fontId="5" fillId="4" borderId="25" xfId="0" applyNumberFormat="1"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3" fontId="5" fillId="0" borderId="22" xfId="0" applyNumberFormat="1" applyFont="1" applyBorder="1" applyAlignment="1" applyProtection="1">
      <alignment horizontal="center"/>
      <protection locked="0"/>
    </xf>
    <xf numFmtId="3" fontId="5" fillId="0" borderId="36" xfId="0" applyNumberFormat="1" applyFont="1" applyBorder="1" applyAlignment="1" applyProtection="1">
      <alignment horizontal="center"/>
      <protection locked="0"/>
    </xf>
    <xf numFmtId="3" fontId="5" fillId="5" borderId="38" xfId="0" applyNumberFormat="1" applyFont="1" applyFill="1" applyBorder="1" applyAlignment="1" applyProtection="1">
      <alignment horizontal="center"/>
      <protection locked="0"/>
    </xf>
    <xf numFmtId="1" fontId="5" fillId="0" borderId="0" xfId="0" applyNumberFormat="1" applyFont="1" applyAlignment="1" applyProtection="1">
      <alignment horizontal="center"/>
      <protection locked="0"/>
    </xf>
    <xf numFmtId="168" fontId="5" fillId="0" borderId="22" xfId="12" applyNumberFormat="1" applyFont="1" applyFill="1" applyBorder="1" applyAlignment="1" applyProtection="1">
      <alignment horizontal="center"/>
      <protection locked="0"/>
    </xf>
    <xf numFmtId="165" fontId="5" fillId="5" borderId="36" xfId="0" applyNumberFormat="1" applyFont="1" applyFill="1" applyBorder="1" applyAlignment="1" applyProtection="1">
      <alignment horizontal="center"/>
      <protection locked="0"/>
    </xf>
    <xf numFmtId="165" fontId="5" fillId="7" borderId="36" xfId="0" applyNumberFormat="1" applyFont="1" applyFill="1" applyBorder="1" applyAlignment="1" applyProtection="1">
      <alignment horizontal="center"/>
      <protection locked="0"/>
    </xf>
    <xf numFmtId="165" fontId="5" fillId="0" borderId="37" xfId="12" applyFont="1" applyFill="1" applyBorder="1" applyAlignment="1" applyProtection="1">
      <alignment horizontal="center"/>
      <protection locked="0"/>
    </xf>
    <xf numFmtId="170" fontId="5" fillId="0" borderId="37" xfId="12" applyNumberFormat="1" applyFont="1" applyFill="1" applyBorder="1" applyAlignment="1" applyProtection="1">
      <alignment horizontal="center"/>
      <protection locked="0"/>
    </xf>
    <xf numFmtId="3" fontId="5" fillId="0" borderId="16" xfId="0" applyNumberFormat="1" applyFont="1" applyBorder="1" applyAlignment="1" applyProtection="1">
      <alignment horizontal="center"/>
      <protection locked="0"/>
    </xf>
    <xf numFmtId="2" fontId="5" fillId="0" borderId="38" xfId="0" applyNumberFormat="1" applyFont="1" applyBorder="1" applyAlignment="1" applyProtection="1">
      <alignment horizontal="right"/>
      <protection locked="0"/>
    </xf>
    <xf numFmtId="2" fontId="5" fillId="4" borderId="9" xfId="0" applyNumberFormat="1" applyFont="1" applyFill="1" applyBorder="1" applyAlignment="1" applyProtection="1">
      <alignment horizontal="right" vertical="center"/>
      <protection locked="0"/>
    </xf>
    <xf numFmtId="2" fontId="5" fillId="0" borderId="41" xfId="0" applyNumberFormat="1" applyFont="1" applyBorder="1" applyAlignment="1" applyProtection="1">
      <alignment horizontal="right"/>
      <protection locked="0"/>
    </xf>
    <xf numFmtId="2" fontId="5" fillId="0" borderId="23" xfId="0" applyNumberFormat="1" applyFont="1" applyBorder="1" applyAlignment="1" applyProtection="1">
      <alignment horizontal="center" vertical="center"/>
      <protection locked="0"/>
    </xf>
    <xf numFmtId="166" fontId="5" fillId="0" borderId="38" xfId="0" applyNumberFormat="1" applyFont="1" applyBorder="1" applyAlignment="1" applyProtection="1">
      <alignment horizontal="center"/>
      <protection locked="0"/>
    </xf>
    <xf numFmtId="167" fontId="5" fillId="0" borderId="38" xfId="0" applyNumberFormat="1" applyFont="1" applyBorder="1" applyAlignment="1" applyProtection="1">
      <alignment horizontal="center"/>
      <protection locked="0"/>
    </xf>
    <xf numFmtId="167" fontId="5" fillId="0" borderId="41" xfId="0" applyNumberFormat="1" applyFont="1" applyBorder="1" applyAlignment="1" applyProtection="1">
      <alignment horizontal="center"/>
      <protection locked="0"/>
    </xf>
    <xf numFmtId="164" fontId="5" fillId="0" borderId="38" xfId="12" applyNumberFormat="1" applyFont="1" applyFill="1" applyBorder="1" applyAlignment="1" applyProtection="1">
      <alignment horizontal="center"/>
      <protection locked="0"/>
    </xf>
    <xf numFmtId="10" fontId="5" fillId="0" borderId="41" xfId="12" applyNumberFormat="1" applyFont="1" applyFill="1" applyBorder="1" applyAlignment="1" applyProtection="1">
      <alignment horizontal="center"/>
      <protection locked="0"/>
    </xf>
    <xf numFmtId="0" fontId="5" fillId="0" borderId="0" xfId="0" applyFont="1" applyProtection="1">
      <protection locked="0"/>
    </xf>
    <xf numFmtId="3" fontId="5" fillId="0" borderId="23" xfId="0" applyNumberFormat="1" applyFont="1" applyBorder="1" applyAlignment="1" applyProtection="1">
      <alignment horizontal="center"/>
      <protection locked="0"/>
    </xf>
    <xf numFmtId="2" fontId="5" fillId="0" borderId="38" xfId="0" applyNumberFormat="1" applyFont="1" applyBorder="1" applyAlignment="1" applyProtection="1">
      <alignment horizontal="center"/>
      <protection locked="0"/>
    </xf>
    <xf numFmtId="0" fontId="5" fillId="0" borderId="62" xfId="0" applyFont="1" applyBorder="1" applyProtection="1">
      <protection locked="0"/>
    </xf>
    <xf numFmtId="167" fontId="5" fillId="0" borderId="17" xfId="0" applyNumberFormat="1" applyFont="1" applyBorder="1" applyAlignment="1" applyProtection="1">
      <alignment horizontal="center"/>
      <protection locked="0"/>
    </xf>
    <xf numFmtId="165" fontId="5" fillId="0" borderId="38" xfId="12" applyFont="1" applyFill="1" applyBorder="1" applyAlignment="1" applyProtection="1">
      <alignment horizontal="center"/>
      <protection locked="0"/>
    </xf>
    <xf numFmtId="164" fontId="5" fillId="0" borderId="18" xfId="12" applyNumberFormat="1" applyFont="1" applyFill="1" applyBorder="1" applyAlignment="1" applyProtection="1">
      <alignment horizontal="center"/>
      <protection locked="0"/>
    </xf>
    <xf numFmtId="165" fontId="5" fillId="0" borderId="17" xfId="0" applyNumberFormat="1" applyFont="1" applyBorder="1" applyProtection="1">
      <protection locked="0"/>
    </xf>
    <xf numFmtId="0" fontId="2" fillId="0" borderId="6" xfId="0" applyFont="1" applyBorder="1" applyAlignment="1">
      <alignment horizontal="right"/>
    </xf>
    <xf numFmtId="0" fontId="3" fillId="4" borderId="4" xfId="0" applyFont="1" applyFill="1" applyBorder="1" applyAlignment="1">
      <alignment horizontal="right"/>
    </xf>
    <xf numFmtId="3" fontId="2" fillId="0" borderId="44" xfId="13" applyNumberFormat="1" applyFont="1" applyFill="1" applyBorder="1" applyAlignment="1" applyProtection="1">
      <alignment horizontal="right"/>
    </xf>
    <xf numFmtId="0" fontId="8" fillId="0" borderId="27" xfId="14" applyFont="1" applyBorder="1"/>
    <xf numFmtId="0" fontId="7" fillId="0" borderId="66" xfId="14" applyFont="1" applyBorder="1"/>
    <xf numFmtId="0" fontId="2" fillId="0" borderId="66" xfId="14" applyBorder="1"/>
    <xf numFmtId="0" fontId="8" fillId="0" borderId="67" xfId="14" applyFont="1" applyBorder="1"/>
    <xf numFmtId="0" fontId="14" fillId="0" borderId="0" xfId="14" applyFont="1"/>
    <xf numFmtId="0" fontId="2" fillId="0" borderId="68" xfId="14" applyBorder="1"/>
    <xf numFmtId="0" fontId="2" fillId="0" borderId="60" xfId="14" applyBorder="1"/>
    <xf numFmtId="0" fontId="2" fillId="0" borderId="69" xfId="14" applyBorder="1"/>
    <xf numFmtId="0" fontId="2" fillId="0" borderId="0" xfId="14"/>
    <xf numFmtId="0" fontId="4" fillId="0" borderId="21" xfId="14" applyFont="1" applyBorder="1" applyProtection="1">
      <protection locked="0"/>
    </xf>
    <xf numFmtId="0" fontId="2" fillId="0" borderId="20" xfId="14" applyBorder="1"/>
    <xf numFmtId="0" fontId="2" fillId="0" borderId="20" xfId="14" applyBorder="1" applyAlignment="1">
      <alignment horizontal="right"/>
    </xf>
    <xf numFmtId="0" fontId="2" fillId="0" borderId="15" xfId="14" applyBorder="1"/>
    <xf numFmtId="0" fontId="2" fillId="0" borderId="0" xfId="14" applyAlignment="1" applyProtection="1">
      <alignment wrapText="1"/>
      <protection locked="0"/>
    </xf>
    <xf numFmtId="0" fontId="2" fillId="0" borderId="0" xfId="14" applyProtection="1">
      <protection locked="0"/>
    </xf>
    <xf numFmtId="0" fontId="2" fillId="0" borderId="14" xfId="14" applyBorder="1" applyProtection="1">
      <protection locked="0"/>
    </xf>
    <xf numFmtId="0" fontId="6" fillId="4" borderId="4" xfId="14" applyFont="1" applyFill="1" applyBorder="1"/>
    <xf numFmtId="0" fontId="6" fillId="4" borderId="5" xfId="14" applyFont="1" applyFill="1" applyBorder="1"/>
    <xf numFmtId="0" fontId="2" fillId="0" borderId="0" xfId="14" applyAlignment="1">
      <alignment horizontal="center"/>
    </xf>
    <xf numFmtId="0" fontId="2" fillId="0" borderId="46" xfId="14" applyBorder="1"/>
    <xf numFmtId="0" fontId="2" fillId="0" borderId="45" xfId="14" applyBorder="1"/>
    <xf numFmtId="0" fontId="20" fillId="0" borderId="45" xfId="14" applyFont="1" applyBorder="1" applyAlignment="1">
      <alignment horizontal="center" wrapText="1"/>
    </xf>
    <xf numFmtId="0" fontId="4" fillId="0" borderId="45" xfId="14" applyFont="1" applyBorder="1" applyAlignment="1">
      <alignment horizontal="center"/>
    </xf>
    <xf numFmtId="0" fontId="2" fillId="0" borderId="47" xfId="14" applyBorder="1"/>
    <xf numFmtId="0" fontId="2" fillId="0" borderId="48" xfId="14" applyBorder="1" applyAlignment="1">
      <alignment horizontal="left" vertical="center"/>
    </xf>
    <xf numFmtId="1" fontId="2" fillId="0" borderId="44" xfId="14" applyNumberFormat="1" applyBorder="1" applyAlignment="1">
      <alignment horizontal="left"/>
    </xf>
    <xf numFmtId="1" fontId="20" fillId="0" borderId="44" xfId="14" applyNumberFormat="1" applyFont="1" applyBorder="1" applyAlignment="1">
      <alignment horizontal="center"/>
    </xf>
    <xf numFmtId="0" fontId="2" fillId="0" borderId="50" xfId="14" applyBorder="1" applyAlignment="1">
      <alignment horizontal="left" vertical="center"/>
    </xf>
    <xf numFmtId="1" fontId="2" fillId="0" borderId="51" xfId="14" applyNumberFormat="1" applyBorder="1" applyAlignment="1">
      <alignment horizontal="left"/>
    </xf>
    <xf numFmtId="1" fontId="20" fillId="0" borderId="51" xfId="14" applyNumberFormat="1" applyFont="1" applyBorder="1" applyAlignment="1">
      <alignment horizontal="center"/>
    </xf>
    <xf numFmtId="166" fontId="2" fillId="0" borderId="51" xfId="14" applyNumberFormat="1" applyBorder="1" applyAlignment="1">
      <alignment horizontal="center"/>
    </xf>
    <xf numFmtId="0" fontId="3" fillId="4" borderId="8" xfId="14" applyFont="1" applyFill="1" applyBorder="1"/>
    <xf numFmtId="0" fontId="3" fillId="4" borderId="4" xfId="14" applyFont="1" applyFill="1" applyBorder="1"/>
    <xf numFmtId="166" fontId="24" fillId="4" borderId="4" xfId="14" applyNumberFormat="1" applyFont="1" applyFill="1" applyBorder="1" applyAlignment="1">
      <alignment horizontal="center"/>
    </xf>
    <xf numFmtId="166" fontId="3" fillId="4" borderId="4" xfId="14" applyNumberFormat="1" applyFont="1" applyFill="1" applyBorder="1" applyAlignment="1">
      <alignment horizontal="center"/>
    </xf>
    <xf numFmtId="164" fontId="24" fillId="4" borderId="5" xfId="5" applyNumberFormat="1" applyFont="1" applyFill="1" applyBorder="1" applyAlignment="1">
      <alignment horizontal="center"/>
    </xf>
    <xf numFmtId="0" fontId="2" fillId="0" borderId="14" xfId="14" applyBorder="1"/>
    <xf numFmtId="0" fontId="2" fillId="0" borderId="53" xfId="14" applyBorder="1"/>
    <xf numFmtId="0" fontId="2" fillId="0" borderId="54" xfId="14" applyBorder="1"/>
    <xf numFmtId="0" fontId="2" fillId="0" borderId="48" xfId="14" applyBorder="1"/>
    <xf numFmtId="0" fontId="2" fillId="0" borderId="44" xfId="14" applyBorder="1"/>
    <xf numFmtId="10" fontId="2" fillId="0" borderId="44" xfId="14" applyNumberFormat="1" applyBorder="1"/>
    <xf numFmtId="164" fontId="2" fillId="0" borderId="49" xfId="5" applyNumberFormat="1" applyFont="1" applyFill="1" applyBorder="1" applyProtection="1">
      <protection locked="0"/>
    </xf>
    <xf numFmtId="0" fontId="2" fillId="0" borderId="56" xfId="14" applyBorder="1"/>
    <xf numFmtId="0" fontId="2" fillId="0" borderId="57" xfId="14" applyBorder="1"/>
    <xf numFmtId="0" fontId="4" fillId="0" borderId="15" xfId="14" applyFont="1" applyBorder="1"/>
    <xf numFmtId="0" fontId="4" fillId="0" borderId="0" xfId="14" applyFont="1"/>
    <xf numFmtId="164" fontId="4" fillId="0" borderId="14" xfId="14" applyNumberFormat="1" applyFont="1" applyBorder="1"/>
    <xf numFmtId="164" fontId="6" fillId="4" borderId="5" xfId="14" applyNumberFormat="1" applyFont="1" applyFill="1" applyBorder="1"/>
    <xf numFmtId="0" fontId="2" fillId="0" borderId="11" xfId="14" applyBorder="1"/>
    <xf numFmtId="9" fontId="2" fillId="0" borderId="10" xfId="14" applyNumberFormat="1" applyBorder="1"/>
    <xf numFmtId="165" fontId="24" fillId="4" borderId="5" xfId="5" applyFont="1" applyFill="1" applyBorder="1" applyAlignment="1">
      <alignment horizontal="center"/>
    </xf>
    <xf numFmtId="0" fontId="3" fillId="4" borderId="15" xfId="14" applyFont="1" applyFill="1" applyBorder="1"/>
    <xf numFmtId="0" fontId="6" fillId="4" borderId="0" xfId="14" applyFont="1" applyFill="1"/>
    <xf numFmtId="0" fontId="6" fillId="4" borderId="14" xfId="14" applyFont="1" applyFill="1" applyBorder="1"/>
    <xf numFmtId="0" fontId="4" fillId="0" borderId="53" xfId="14" applyFont="1" applyBorder="1"/>
    <xf numFmtId="0" fontId="4" fillId="0" borderId="54" xfId="14" applyFont="1" applyBorder="1"/>
    <xf numFmtId="0" fontId="4" fillId="0" borderId="54" xfId="14" applyFont="1" applyBorder="1" applyAlignment="1">
      <alignment horizontal="center"/>
    </xf>
    <xf numFmtId="4" fontId="4" fillId="0" borderId="55" xfId="14" applyNumberFormat="1" applyFont="1" applyBorder="1"/>
    <xf numFmtId="3" fontId="2" fillId="0" borderId="44" xfId="14" applyNumberFormat="1" applyBorder="1" applyAlignment="1">
      <alignment horizontal="right"/>
    </xf>
    <xf numFmtId="164" fontId="2" fillId="0" borderId="49" xfId="5" applyNumberFormat="1" applyFont="1" applyFill="1" applyBorder="1" applyAlignment="1">
      <alignment horizontal="center"/>
    </xf>
    <xf numFmtId="3" fontId="2" fillId="0" borderId="57" xfId="14" applyNumberFormat="1" applyBorder="1" applyAlignment="1">
      <alignment horizontal="right"/>
    </xf>
    <xf numFmtId="164" fontId="2" fillId="0" borderId="58" xfId="5" applyNumberFormat="1" applyFont="1" applyFill="1" applyBorder="1" applyAlignment="1">
      <alignment horizontal="center"/>
    </xf>
    <xf numFmtId="3" fontId="3" fillId="4" borderId="4" xfId="14" applyNumberFormat="1" applyFont="1" applyFill="1" applyBorder="1" applyAlignment="1">
      <alignment horizontal="right"/>
    </xf>
    <xf numFmtId="0" fontId="2" fillId="0" borderId="0" xfId="14" applyAlignment="1">
      <alignment horizontal="right"/>
    </xf>
    <xf numFmtId="0" fontId="2" fillId="0" borderId="21" xfId="14" applyBorder="1"/>
    <xf numFmtId="0" fontId="2" fillId="0" borderId="19" xfId="14" applyBorder="1"/>
    <xf numFmtId="167" fontId="2" fillId="0" borderId="20" xfId="14" applyNumberFormat="1" applyBorder="1" applyAlignment="1">
      <alignment horizontal="center"/>
    </xf>
    <xf numFmtId="3" fontId="2" fillId="0" borderId="19" xfId="14" applyNumberFormat="1" applyBorder="1"/>
    <xf numFmtId="167" fontId="4" fillId="6" borderId="44" xfId="14" applyNumberFormat="1" applyFont="1" applyFill="1" applyBorder="1" applyAlignment="1" applyProtection="1">
      <alignment horizontal="center"/>
      <protection locked="0"/>
    </xf>
    <xf numFmtId="167" fontId="4" fillId="6" borderId="57" xfId="14" applyNumberFormat="1" applyFont="1" applyFill="1" applyBorder="1" applyAlignment="1" applyProtection="1">
      <alignment horizontal="center"/>
      <protection locked="0"/>
    </xf>
    <xf numFmtId="0" fontId="7" fillId="0" borderId="66" xfId="0" applyFont="1" applyBorder="1" applyProtection="1">
      <protection locked="0"/>
    </xf>
    <xf numFmtId="0" fontId="2" fillId="0" borderId="66" xfId="0" applyFont="1" applyBorder="1" applyProtection="1">
      <protection locked="0"/>
    </xf>
    <xf numFmtId="166"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6" fontId="5" fillId="0" borderId="0" xfId="0" applyNumberFormat="1" applyFont="1" applyProtection="1">
      <protection locked="0"/>
    </xf>
    <xf numFmtId="0" fontId="6" fillId="0" borderId="0" xfId="0" applyFont="1" applyProtection="1">
      <protection locked="0"/>
    </xf>
    <xf numFmtId="164" fontId="5" fillId="0" borderId="18" xfId="5" applyNumberFormat="1" applyFont="1" applyFill="1" applyBorder="1" applyAlignment="1">
      <alignment horizontal="center"/>
    </xf>
    <xf numFmtId="0" fontId="20" fillId="0" borderId="44" xfId="0" applyFont="1" applyBorder="1"/>
    <xf numFmtId="3" fontId="2" fillId="6" borderId="44" xfId="13" applyNumberFormat="1" applyFont="1" applyFill="1" applyBorder="1" applyAlignment="1" applyProtection="1">
      <alignment horizontal="center"/>
      <protection locked="0"/>
    </xf>
    <xf numFmtId="0" fontId="2" fillId="6" borderId="44" xfId="0" applyFont="1" applyFill="1" applyBorder="1" applyAlignment="1" applyProtection="1">
      <alignment horizontal="center"/>
      <protection locked="0"/>
    </xf>
    <xf numFmtId="0" fontId="2" fillId="6" borderId="50" xfId="0" applyFont="1" applyFill="1" applyBorder="1" applyProtection="1">
      <protection locked="0"/>
    </xf>
    <xf numFmtId="0" fontId="2" fillId="6" borderId="44" xfId="0" applyFont="1" applyFill="1" applyBorder="1" applyProtection="1">
      <protection locked="0"/>
    </xf>
    <xf numFmtId="0" fontId="2" fillId="6" borderId="51" xfId="0" applyFont="1" applyFill="1" applyBorder="1" applyProtection="1">
      <protection locked="0"/>
    </xf>
    <xf numFmtId="2" fontId="2" fillId="0" borderId="52" xfId="0" applyNumberFormat="1" applyFont="1" applyBorder="1" applyAlignment="1">
      <alignment horizontal="center"/>
    </xf>
    <xf numFmtId="0" fontId="15" fillId="6" borderId="18" xfId="8" applyFont="1" applyFill="1" applyBorder="1" applyProtection="1">
      <protection locked="0"/>
    </xf>
    <xf numFmtId="10" fontId="2" fillId="6" borderId="9" xfId="9" applyNumberFormat="1" applyFont="1" applyFill="1" applyBorder="1" applyAlignment="1" applyProtection="1">
      <protection locked="0"/>
    </xf>
    <xf numFmtId="0" fontId="15" fillId="6" borderId="24" xfId="8" applyFont="1" applyFill="1" applyBorder="1" applyAlignment="1" applyProtection="1">
      <alignment horizontal="left" wrapText="1" indent="1"/>
      <protection locked="0"/>
    </xf>
    <xf numFmtId="0" fontId="15" fillId="6" borderId="24" xfId="8" applyFont="1" applyFill="1" applyBorder="1" applyProtection="1">
      <protection locked="0"/>
    </xf>
    <xf numFmtId="0" fontId="15" fillId="6" borderId="18" xfId="8" applyFont="1" applyFill="1" applyBorder="1" applyAlignment="1" applyProtection="1">
      <alignment horizontal="left" wrapText="1" indent="1"/>
      <protection locked="0"/>
    </xf>
    <xf numFmtId="0" fontId="3" fillId="4" borderId="4" xfId="0" applyFont="1" applyFill="1" applyBorder="1" applyAlignment="1">
      <alignment horizontal="left" vertical="center" wrapText="1"/>
    </xf>
    <xf numFmtId="0" fontId="6" fillId="4" borderId="4" xfId="0" applyFont="1" applyFill="1" applyBorder="1" applyAlignment="1">
      <alignment horizontal="left" vertical="center"/>
    </xf>
    <xf numFmtId="0" fontId="2" fillId="6" borderId="6" xfId="0" applyFont="1" applyFill="1" applyBorder="1" applyAlignment="1" applyProtection="1">
      <alignment horizontal="left"/>
      <protection locked="0"/>
    </xf>
    <xf numFmtId="0" fontId="28" fillId="0" borderId="66" xfId="14" applyFont="1" applyBorder="1"/>
    <xf numFmtId="0" fontId="28" fillId="6" borderId="66" xfId="0" applyFont="1" applyFill="1" applyBorder="1" applyProtection="1">
      <protection locked="0"/>
    </xf>
    <xf numFmtId="166" fontId="4" fillId="6" borderId="44" xfId="0" applyNumberFormat="1" applyFont="1" applyFill="1" applyBorder="1" applyAlignment="1" applyProtection="1">
      <alignment horizontal="center"/>
      <protection locked="0"/>
    </xf>
    <xf numFmtId="166" fontId="4" fillId="6" borderId="51" xfId="0" applyNumberFormat="1" applyFont="1" applyFill="1" applyBorder="1" applyAlignment="1" applyProtection="1">
      <alignment horizontal="center"/>
      <protection locked="0"/>
    </xf>
    <xf numFmtId="166" fontId="4" fillId="6" borderId="6" xfId="0" applyNumberFormat="1" applyFont="1" applyFill="1" applyBorder="1" applyAlignment="1" applyProtection="1">
      <alignment horizontal="left"/>
      <protection locked="0"/>
    </xf>
    <xf numFmtId="166" fontId="4" fillId="6" borderId="6" xfId="0" applyNumberFormat="1" applyFont="1" applyFill="1" applyBorder="1" applyAlignment="1" applyProtection="1">
      <alignment horizontal="center"/>
      <protection locked="0"/>
    </xf>
    <xf numFmtId="1" fontId="4" fillId="3" borderId="44" xfId="0" applyNumberFormat="1" applyFont="1" applyFill="1" applyBorder="1" applyAlignment="1" applyProtection="1">
      <alignment horizontal="center"/>
      <protection locked="0"/>
    </xf>
    <xf numFmtId="1" fontId="4" fillId="6" borderId="44" xfId="0" applyNumberFormat="1" applyFont="1" applyFill="1" applyBorder="1" applyAlignment="1" applyProtection="1">
      <alignment horizontal="center"/>
      <protection locked="0"/>
    </xf>
    <xf numFmtId="0" fontId="4" fillId="6" borderId="20" xfId="14" applyFont="1" applyFill="1" applyBorder="1" applyAlignment="1" applyProtection="1">
      <alignment horizontal="center"/>
      <protection locked="0"/>
    </xf>
    <xf numFmtId="1" fontId="4" fillId="6" borderId="51" xfId="14" applyNumberFormat="1" applyFont="1" applyFill="1" applyBorder="1" applyAlignment="1" applyProtection="1">
      <alignment horizontal="left"/>
      <protection locked="0"/>
    </xf>
    <xf numFmtId="0" fontId="4" fillId="6" borderId="48" xfId="14" applyFont="1" applyFill="1" applyBorder="1" applyProtection="1">
      <protection locked="0"/>
    </xf>
    <xf numFmtId="0" fontId="4" fillId="6" borderId="44" xfId="14" applyFont="1" applyFill="1" applyBorder="1" applyProtection="1">
      <protection locked="0"/>
    </xf>
    <xf numFmtId="0" fontId="4" fillId="3" borderId="44" xfId="14" applyFont="1" applyFill="1" applyBorder="1" applyAlignment="1" applyProtection="1">
      <alignment horizontal="center"/>
      <protection locked="0"/>
    </xf>
    <xf numFmtId="0" fontId="4" fillId="3" borderId="57" xfId="14" applyFont="1" applyFill="1" applyBorder="1" applyAlignment="1" applyProtection="1">
      <alignment horizontal="center"/>
      <protection locked="0"/>
    </xf>
    <xf numFmtId="0" fontId="3" fillId="4" borderId="8" xfId="0" applyFont="1" applyFill="1" applyBorder="1" applyAlignment="1">
      <alignment horizontal="left" vertical="center"/>
    </xf>
    <xf numFmtId="3" fontId="2" fillId="0" borderId="44" xfId="13" applyNumberFormat="1" applyFont="1" applyFill="1" applyBorder="1" applyAlignment="1" applyProtection="1">
      <alignment horizontal="center"/>
    </xf>
    <xf numFmtId="166" fontId="4" fillId="0" borderId="44" xfId="0" applyNumberFormat="1" applyFont="1" applyBorder="1" applyAlignment="1">
      <alignment horizontal="center"/>
    </xf>
    <xf numFmtId="0" fontId="2" fillId="8" borderId="32" xfId="0" applyFont="1" applyFill="1" applyBorder="1"/>
    <xf numFmtId="0" fontId="8" fillId="8" borderId="78" xfId="0" applyFont="1" applyFill="1" applyBorder="1"/>
    <xf numFmtId="0" fontId="7" fillId="8" borderId="78" xfId="0" applyFont="1" applyFill="1" applyBorder="1"/>
    <xf numFmtId="0" fontId="2" fillId="8" borderId="78" xfId="0" applyFont="1" applyFill="1" applyBorder="1"/>
    <xf numFmtId="0" fontId="2" fillId="8" borderId="79" xfId="0" applyFont="1" applyFill="1" applyBorder="1"/>
    <xf numFmtId="165" fontId="2" fillId="0" borderId="44" xfId="5" applyFont="1" applyFill="1" applyBorder="1" applyAlignment="1"/>
    <xf numFmtId="169" fontId="4" fillId="3" borderId="44" xfId="11" applyNumberFormat="1" applyFont="1" applyFill="1" applyBorder="1" applyAlignment="1" applyProtection="1">
      <alignment horizontal="center" vertical="center"/>
      <protection locked="0"/>
    </xf>
    <xf numFmtId="0" fontId="2" fillId="0" borderId="48" xfId="0" applyFont="1" applyBorder="1" applyAlignment="1">
      <alignment horizontal="left" vertical="center"/>
    </xf>
    <xf numFmtId="0" fontId="2" fillId="0" borderId="44" xfId="0" applyFont="1" applyBorder="1" applyAlignment="1">
      <alignment horizontal="left" vertical="center"/>
    </xf>
    <xf numFmtId="165" fontId="2" fillId="0" borderId="44" xfId="5" applyFont="1" applyFill="1" applyBorder="1" applyAlignment="1">
      <alignment horizontal="left" vertical="center"/>
    </xf>
    <xf numFmtId="0" fontId="2" fillId="0" borderId="46" xfId="0" applyFont="1" applyBorder="1" applyAlignment="1">
      <alignment horizontal="left"/>
    </xf>
    <xf numFmtId="0" fontId="2" fillId="0" borderId="45" xfId="0" applyFont="1" applyBorder="1" applyAlignment="1">
      <alignment horizontal="left"/>
    </xf>
    <xf numFmtId="0" fontId="2" fillId="0" borderId="48" xfId="0" applyFont="1" applyBorder="1" applyAlignment="1">
      <alignment horizontal="left"/>
    </xf>
    <xf numFmtId="0" fontId="2" fillId="0" borderId="44" xfId="0" applyFont="1" applyBorder="1" applyAlignment="1">
      <alignment horizontal="left"/>
    </xf>
    <xf numFmtId="10" fontId="2" fillId="0" borderId="45" xfId="0" applyNumberFormat="1" applyFont="1" applyBorder="1" applyAlignment="1">
      <alignment horizontal="left"/>
    </xf>
    <xf numFmtId="10" fontId="2" fillId="0" borderId="44" xfId="0" applyNumberFormat="1" applyFont="1" applyBorder="1" applyAlignment="1">
      <alignment horizontal="left"/>
    </xf>
    <xf numFmtId="166" fontId="2" fillId="0" borderId="44" xfId="0" applyNumberFormat="1" applyFont="1" applyBorder="1" applyAlignment="1">
      <alignment horizontal="left"/>
    </xf>
    <xf numFmtId="0" fontId="2" fillId="0" borderId="50" xfId="0" applyFont="1" applyBorder="1" applyAlignment="1">
      <alignment horizontal="left"/>
    </xf>
    <xf numFmtId="0" fontId="2" fillId="0" borderId="51" xfId="0" applyFont="1" applyBorder="1" applyAlignment="1">
      <alignment horizontal="left"/>
    </xf>
    <xf numFmtId="10" fontId="2" fillId="0" borderId="51" xfId="1" applyNumberFormat="1" applyFont="1" applyFill="1" applyBorder="1" applyAlignment="1">
      <alignment horizontal="left"/>
    </xf>
    <xf numFmtId="2" fontId="2" fillId="0" borderId="44" xfId="6" applyNumberFormat="1" applyFont="1" applyFill="1" applyBorder="1" applyAlignment="1">
      <alignment horizontal="center" vertical="center"/>
    </xf>
    <xf numFmtId="167" fontId="2" fillId="0" borderId="44" xfId="1" applyNumberFormat="1" applyFont="1" applyFill="1" applyBorder="1" applyAlignment="1">
      <alignment horizontal="center"/>
    </xf>
    <xf numFmtId="2" fontId="2" fillId="0" borderId="44" xfId="0" applyNumberFormat="1" applyFont="1" applyBorder="1"/>
    <xf numFmtId="171" fontId="4" fillId="6" borderId="44" xfId="6" applyNumberFormat="1" applyFont="1" applyFill="1" applyBorder="1" applyAlignment="1" applyProtection="1">
      <alignment horizontal="center"/>
      <protection locked="0"/>
    </xf>
    <xf numFmtId="10" fontId="4" fillId="6" borderId="51" xfId="1" applyNumberFormat="1" applyFont="1" applyFill="1" applyBorder="1" applyAlignment="1" applyProtection="1">
      <protection locked="0"/>
    </xf>
    <xf numFmtId="2" fontId="2" fillId="0" borderId="51" xfId="0" applyNumberFormat="1" applyFont="1" applyBorder="1"/>
    <xf numFmtId="164" fontId="2" fillId="9" borderId="49" xfId="5" applyNumberFormat="1" applyFont="1" applyFill="1" applyBorder="1" applyProtection="1">
      <protection locked="0"/>
    </xf>
    <xf numFmtId="0" fontId="4" fillId="0" borderId="44" xfId="14" applyFont="1" applyBorder="1" applyAlignment="1" applyProtection="1">
      <alignment horizontal="center"/>
      <protection locked="0"/>
    </xf>
    <xf numFmtId="1" fontId="4" fillId="0" borderId="44" xfId="14" applyNumberFormat="1" applyFont="1" applyBorder="1" applyAlignment="1" applyProtection="1">
      <alignment horizontal="center"/>
      <protection locked="0"/>
    </xf>
    <xf numFmtId="0" fontId="4" fillId="0" borderId="57" xfId="14" applyFont="1" applyBorder="1" applyAlignment="1" applyProtection="1">
      <alignment horizontal="center"/>
      <protection locked="0"/>
    </xf>
    <xf numFmtId="0" fontId="3" fillId="0" borderId="8" xfId="14" applyFont="1" applyBorder="1"/>
    <xf numFmtId="0" fontId="3" fillId="0" borderId="4" xfId="14" applyFont="1" applyBorder="1"/>
    <xf numFmtId="166" fontId="24" fillId="0" borderId="4" xfId="14" applyNumberFormat="1" applyFont="1" applyBorder="1" applyAlignment="1">
      <alignment horizontal="center"/>
    </xf>
    <xf numFmtId="166" fontId="3" fillId="0" borderId="4" xfId="14" applyNumberFormat="1" applyFont="1" applyBorder="1" applyAlignment="1">
      <alignment horizontal="center"/>
    </xf>
    <xf numFmtId="164" fontId="24" fillId="0" borderId="5" xfId="5" applyNumberFormat="1" applyFont="1" applyFill="1" applyBorder="1" applyAlignment="1">
      <alignment horizontal="center"/>
    </xf>
    <xf numFmtId="0" fontId="6" fillId="4" borderId="11" xfId="14" applyFont="1" applyFill="1" applyBorder="1"/>
    <xf numFmtId="0" fontId="4" fillId="0" borderId="46" xfId="14" applyFont="1" applyBorder="1"/>
    <xf numFmtId="0" fontId="4" fillId="0" borderId="45" xfId="14" applyFont="1" applyBorder="1"/>
    <xf numFmtId="4" fontId="4" fillId="0" borderId="47" xfId="14" applyNumberFormat="1" applyFont="1" applyBorder="1"/>
    <xf numFmtId="165" fontId="4" fillId="0" borderId="44" xfId="5" applyFont="1" applyFill="1" applyBorder="1" applyAlignment="1" applyProtection="1">
      <alignment horizontal="center"/>
      <protection locked="0"/>
    </xf>
    <xf numFmtId="165" fontId="2" fillId="0" borderId="57" xfId="5" applyFont="1" applyFill="1" applyBorder="1" applyAlignment="1" applyProtection="1">
      <alignment horizontal="center"/>
      <protection locked="0"/>
    </xf>
    <xf numFmtId="0" fontId="3" fillId="4" borderId="12" xfId="14" applyFont="1" applyFill="1" applyBorder="1"/>
    <xf numFmtId="0" fontId="6" fillId="4" borderId="10" xfId="14" applyFont="1" applyFill="1" applyBorder="1"/>
    <xf numFmtId="3" fontId="2" fillId="0" borderId="0" xfId="14" applyNumberFormat="1"/>
    <xf numFmtId="165" fontId="2" fillId="0" borderId="0" xfId="14" applyNumberFormat="1"/>
    <xf numFmtId="165" fontId="2" fillId="0" borderId="14" xfId="14" applyNumberFormat="1" applyBorder="1"/>
    <xf numFmtId="3" fontId="2" fillId="0" borderId="20" xfId="14" applyNumberFormat="1" applyBorder="1"/>
    <xf numFmtId="2" fontId="2" fillId="0" borderId="20" xfId="14" applyNumberFormat="1" applyBorder="1" applyAlignment="1">
      <alignment horizontal="right"/>
    </xf>
    <xf numFmtId="165" fontId="2" fillId="0" borderId="19" xfId="14" applyNumberFormat="1" applyBorder="1"/>
    <xf numFmtId="166" fontId="4" fillId="0" borderId="44" xfId="14" applyNumberFormat="1" applyFont="1" applyBorder="1" applyAlignment="1" applyProtection="1">
      <alignment horizontal="center"/>
      <protection locked="0"/>
    </xf>
    <xf numFmtId="1" fontId="4" fillId="0" borderId="51" xfId="14" applyNumberFormat="1" applyFont="1" applyBorder="1" applyAlignment="1" applyProtection="1">
      <alignment horizontal="center"/>
      <protection locked="0"/>
    </xf>
    <xf numFmtId="166" fontId="4" fillId="0" borderId="51" xfId="14" applyNumberFormat="1" applyFont="1" applyBorder="1" applyAlignment="1" applyProtection="1">
      <alignment horizontal="center"/>
      <protection locked="0"/>
    </xf>
    <xf numFmtId="164" fontId="4" fillId="0" borderId="49" xfId="5" applyNumberFormat="1" applyFont="1" applyFill="1" applyBorder="1" applyAlignment="1" applyProtection="1">
      <alignment horizontal="center"/>
      <protection locked="0"/>
    </xf>
    <xf numFmtId="164" fontId="4" fillId="0" borderId="52" xfId="5" applyNumberFormat="1" applyFont="1" applyFill="1" applyBorder="1" applyAlignment="1" applyProtection="1">
      <alignment horizontal="center"/>
      <protection locked="0"/>
    </xf>
    <xf numFmtId="164" fontId="4" fillId="0" borderId="49" xfId="5" applyNumberFormat="1" applyFont="1" applyFill="1" applyBorder="1" applyProtection="1">
      <protection locked="0"/>
    </xf>
    <xf numFmtId="0" fontId="30" fillId="0" borderId="12" xfId="14" applyFont="1" applyBorder="1"/>
    <xf numFmtId="0" fontId="30" fillId="0" borderId="11" xfId="14" applyFont="1" applyBorder="1"/>
    <xf numFmtId="165" fontId="30" fillId="0" borderId="55" xfId="12" applyFont="1" applyFill="1" applyBorder="1" applyProtection="1">
      <protection locked="0"/>
    </xf>
    <xf numFmtId="0" fontId="30" fillId="0" borderId="15" xfId="14" applyFont="1" applyBorder="1"/>
    <xf numFmtId="0" fontId="30" fillId="0" borderId="0" xfId="14" applyFont="1"/>
    <xf numFmtId="165" fontId="30" fillId="0" borderId="49" xfId="12" applyFont="1" applyFill="1" applyBorder="1" applyProtection="1">
      <protection locked="0"/>
    </xf>
    <xf numFmtId="0" fontId="30" fillId="0" borderId="14" xfId="14" applyFont="1" applyBorder="1"/>
    <xf numFmtId="0" fontId="30" fillId="0" borderId="21" xfId="14" applyFont="1" applyBorder="1"/>
    <xf numFmtId="0" fontId="30" fillId="0" borderId="20" xfId="14" applyFont="1" applyBorder="1"/>
    <xf numFmtId="165" fontId="30" fillId="0" borderId="80" xfId="14" applyNumberFormat="1" applyFont="1" applyBorder="1"/>
    <xf numFmtId="0" fontId="2" fillId="0" borderId="81" xfId="0" applyFont="1" applyBorder="1"/>
    <xf numFmtId="0" fontId="2" fillId="0" borderId="82" xfId="0" applyFont="1" applyBorder="1" applyAlignment="1">
      <alignment horizontal="left"/>
    </xf>
    <xf numFmtId="0" fontId="2" fillId="0" borderId="82" xfId="0" applyFont="1" applyBorder="1" applyAlignment="1">
      <alignment horizontal="right"/>
    </xf>
    <xf numFmtId="166" fontId="4" fillId="6" borderId="82" xfId="0" applyNumberFormat="1" applyFont="1" applyFill="1" applyBorder="1" applyAlignment="1" applyProtection="1">
      <alignment horizontal="left"/>
      <protection locked="0"/>
    </xf>
    <xf numFmtId="0" fontId="4" fillId="0" borderId="82" xfId="0" applyFont="1" applyBorder="1" applyAlignment="1">
      <alignment horizontal="right"/>
    </xf>
    <xf numFmtId="166" fontId="4" fillId="0" borderId="82" xfId="0" applyNumberFormat="1" applyFont="1" applyBorder="1"/>
    <xf numFmtId="0" fontId="2" fillId="0" borderId="83" xfId="0" applyFont="1" applyBorder="1"/>
    <xf numFmtId="0" fontId="2" fillId="0" borderId="84" xfId="0" applyFont="1" applyBorder="1"/>
    <xf numFmtId="0" fontId="2" fillId="0" borderId="85" xfId="0" applyFont="1" applyBorder="1"/>
    <xf numFmtId="9" fontId="2" fillId="0" borderId="85" xfId="0" applyNumberFormat="1" applyFont="1" applyBorder="1"/>
    <xf numFmtId="0" fontId="2" fillId="0" borderId="20" xfId="0" applyFont="1" applyBorder="1"/>
    <xf numFmtId="0" fontId="2" fillId="0" borderId="86" xfId="0" applyFont="1" applyBorder="1"/>
    <xf numFmtId="1" fontId="31" fillId="0" borderId="7" xfId="0" applyNumberFormat="1" applyFont="1" applyBorder="1"/>
    <xf numFmtId="0" fontId="5" fillId="0" borderId="44" xfId="0" applyFont="1" applyBorder="1"/>
    <xf numFmtId="3" fontId="5" fillId="0" borderId="44" xfId="0" applyNumberFormat="1" applyFont="1" applyBorder="1" applyAlignment="1">
      <alignment horizontal="right"/>
    </xf>
    <xf numFmtId="0" fontId="5" fillId="0" borderId="44" xfId="0" applyFont="1" applyBorder="1" applyAlignment="1">
      <alignment horizontal="right"/>
    </xf>
    <xf numFmtId="0" fontId="8" fillId="6" borderId="67" xfId="0" applyFont="1" applyFill="1" applyBorder="1"/>
    <xf numFmtId="1" fontId="20" fillId="0" borderId="44" xfId="14" applyNumberFormat="1" applyFont="1" applyBorder="1" applyAlignment="1" applyProtection="1">
      <alignment horizontal="center"/>
      <protection locked="0"/>
    </xf>
    <xf numFmtId="1" fontId="20" fillId="0" borderId="51" xfId="14" applyNumberFormat="1" applyFont="1" applyBorder="1" applyAlignment="1" applyProtection="1">
      <alignment horizontal="center"/>
      <protection locked="0"/>
    </xf>
    <xf numFmtId="0" fontId="5" fillId="0" borderId="0" xfId="14" applyFont="1" applyAlignment="1">
      <alignment horizontal="center" vertical="center" wrapText="1"/>
    </xf>
    <xf numFmtId="0" fontId="5" fillId="0" borderId="0" xfId="14" applyFont="1" applyAlignment="1">
      <alignment vertical="center"/>
    </xf>
    <xf numFmtId="0" fontId="6" fillId="0" borderId="0" xfId="14" applyFont="1" applyAlignment="1">
      <alignment vertical="center"/>
    </xf>
    <xf numFmtId="0" fontId="19" fillId="4" borderId="9" xfId="14" applyFont="1" applyFill="1" applyBorder="1" applyAlignment="1">
      <alignment horizontal="center" vertical="center"/>
    </xf>
    <xf numFmtId="1" fontId="5" fillId="0" borderId="2" xfId="14" applyNumberFormat="1" applyFont="1" applyBorder="1" applyAlignment="1">
      <alignment horizontal="left"/>
    </xf>
    <xf numFmtId="167" fontId="5" fillId="0" borderId="36" xfId="14" applyNumberFormat="1" applyFont="1" applyBorder="1" applyAlignment="1">
      <alignment horizontal="right"/>
    </xf>
    <xf numFmtId="0" fontId="6" fillId="0" borderId="0" xfId="14" applyFont="1"/>
    <xf numFmtId="0" fontId="5" fillId="0" borderId="0" xfId="14" applyFont="1" applyAlignment="1">
      <alignment horizontal="center" vertical="center"/>
    </xf>
    <xf numFmtId="0" fontId="5" fillId="0" borderId="0" xfId="14" applyFont="1"/>
    <xf numFmtId="167" fontId="5" fillId="0" borderId="87" xfId="14" applyNumberFormat="1" applyFont="1" applyBorder="1" applyAlignment="1">
      <alignment horizontal="right"/>
    </xf>
    <xf numFmtId="167" fontId="5" fillId="0" borderId="39" xfId="14" applyNumberFormat="1" applyFont="1" applyBorder="1" applyAlignment="1">
      <alignment horizontal="right"/>
    </xf>
    <xf numFmtId="167" fontId="5" fillId="0" borderId="88" xfId="14" applyNumberFormat="1" applyFont="1" applyBorder="1" applyAlignment="1">
      <alignment horizontal="right"/>
    </xf>
    <xf numFmtId="167" fontId="5" fillId="0" borderId="42" xfId="14" applyNumberFormat="1" applyFont="1" applyBorder="1" applyAlignment="1">
      <alignment horizontal="right"/>
    </xf>
    <xf numFmtId="167" fontId="5" fillId="0" borderId="38" xfId="14" applyNumberFormat="1" applyFont="1" applyBorder="1" applyAlignment="1">
      <alignment horizontal="right"/>
    </xf>
    <xf numFmtId="172" fontId="4" fillId="6" borderId="44" xfId="13" applyNumberFormat="1" applyFont="1" applyFill="1" applyBorder="1" applyAlignment="1" applyProtection="1">
      <alignment horizontal="center"/>
      <protection locked="0"/>
    </xf>
    <xf numFmtId="0" fontId="2" fillId="0" borderId="51" xfId="14" applyBorder="1"/>
    <xf numFmtId="0" fontId="2" fillId="6" borderId="48" xfId="14" applyFill="1" applyBorder="1" applyProtection="1">
      <protection locked="0"/>
    </xf>
    <xf numFmtId="0" fontId="2" fillId="6" borderId="56" xfId="14" applyFill="1" applyBorder="1" applyProtection="1">
      <protection locked="0"/>
    </xf>
    <xf numFmtId="164" fontId="5" fillId="5" borderId="38" xfId="12" applyNumberFormat="1" applyFont="1" applyFill="1" applyBorder="1" applyAlignment="1" applyProtection="1">
      <alignment horizontal="center"/>
      <protection locked="0"/>
    </xf>
    <xf numFmtId="165" fontId="5" fillId="0" borderId="36" xfId="0" applyNumberFormat="1" applyFont="1" applyBorder="1" applyAlignment="1" applyProtection="1">
      <alignment horizontal="center"/>
      <protection locked="0"/>
    </xf>
    <xf numFmtId="165" fontId="5" fillId="0" borderId="36" xfId="0" applyNumberFormat="1" applyFont="1" applyBorder="1" applyAlignment="1">
      <alignment horizontal="center"/>
    </xf>
    <xf numFmtId="167" fontId="5" fillId="0" borderId="13" xfId="0" applyNumberFormat="1" applyFont="1" applyBorder="1" applyAlignment="1">
      <alignment horizontal="right"/>
    </xf>
    <xf numFmtId="164" fontId="5" fillId="5" borderId="38" xfId="12" applyNumberFormat="1" applyFont="1" applyFill="1" applyBorder="1" applyAlignment="1">
      <alignment horizontal="center"/>
    </xf>
    <xf numFmtId="164" fontId="5" fillId="0" borderId="38" xfId="5" applyNumberFormat="1" applyFont="1" applyFill="1" applyBorder="1" applyAlignment="1">
      <alignment horizontal="center"/>
    </xf>
    <xf numFmtId="172" fontId="2" fillId="0" borderId="44" xfId="14" applyNumberFormat="1" applyBorder="1" applyAlignment="1">
      <alignment horizontal="right"/>
    </xf>
    <xf numFmtId="172" fontId="2" fillId="0" borderId="57" xfId="14" applyNumberFormat="1" applyBorder="1" applyAlignment="1">
      <alignment horizontal="right"/>
    </xf>
    <xf numFmtId="1" fontId="5" fillId="6" borderId="36" xfId="0" applyNumberFormat="1" applyFont="1" applyFill="1" applyBorder="1" applyAlignment="1">
      <alignment horizontal="left"/>
    </xf>
    <xf numFmtId="170" fontId="5" fillId="5" borderId="36" xfId="0" applyNumberFormat="1" applyFont="1" applyFill="1" applyBorder="1" applyAlignment="1" applyProtection="1">
      <alignment horizontal="center"/>
      <protection locked="0"/>
    </xf>
    <xf numFmtId="170" fontId="5" fillId="5" borderId="36" xfId="0" applyNumberFormat="1" applyFont="1" applyFill="1" applyBorder="1" applyAlignment="1">
      <alignment horizontal="center"/>
    </xf>
    <xf numFmtId="0" fontId="4" fillId="6" borderId="44" xfId="14" applyFont="1" applyFill="1" applyBorder="1" applyAlignment="1" applyProtection="1">
      <alignment horizontal="center"/>
      <protection locked="0"/>
    </xf>
    <xf numFmtId="0" fontId="4" fillId="6" borderId="57" xfId="14" applyFont="1" applyFill="1" applyBorder="1" applyAlignment="1" applyProtection="1">
      <alignment horizontal="center"/>
      <protection locked="0"/>
    </xf>
    <xf numFmtId="0" fontId="5" fillId="0" borderId="45" xfId="0" applyFont="1" applyBorder="1" applyAlignment="1">
      <alignment horizontal="left"/>
    </xf>
    <xf numFmtId="0" fontId="5" fillId="0" borderId="45" xfId="0" applyFont="1" applyBorder="1" applyAlignment="1">
      <alignment horizontal="center"/>
    </xf>
    <xf numFmtId="0" fontId="5" fillId="0" borderId="47" xfId="0" applyFont="1" applyBorder="1" applyAlignment="1">
      <alignment horizontal="left"/>
    </xf>
    <xf numFmtId="2" fontId="2" fillId="0" borderId="44" xfId="5" applyNumberFormat="1" applyFont="1" applyFill="1" applyBorder="1" applyAlignment="1">
      <alignment horizontal="left" vertical="center"/>
    </xf>
    <xf numFmtId="165" fontId="2" fillId="0" borderId="51" xfId="5" applyFont="1" applyFill="1" applyBorder="1" applyAlignment="1">
      <alignment horizontal="left" vertical="center"/>
    </xf>
    <xf numFmtId="0" fontId="3" fillId="4" borderId="20" xfId="0" applyFont="1" applyFill="1" applyBorder="1"/>
    <xf numFmtId="0" fontId="2" fillId="0" borderId="53" xfId="0" applyFont="1" applyBorder="1" applyAlignment="1">
      <alignment horizontal="left" vertical="center"/>
    </xf>
    <xf numFmtId="0" fontId="2" fillId="0" borderId="54" xfId="0" applyFont="1" applyBorder="1" applyAlignment="1">
      <alignment horizontal="left" vertical="center"/>
    </xf>
    <xf numFmtId="165" fontId="2" fillId="0" borderId="54" xfId="5" applyFont="1" applyFill="1" applyBorder="1" applyAlignment="1">
      <alignment horizontal="left" vertical="center"/>
    </xf>
    <xf numFmtId="0" fontId="20" fillId="0" borderId="20" xfId="0" applyFont="1" applyBorder="1" applyAlignment="1">
      <alignment horizontal="left" vertical="center"/>
    </xf>
    <xf numFmtId="0" fontId="32" fillId="0" borderId="18" xfId="8" applyFont="1" applyBorder="1"/>
    <xf numFmtId="0" fontId="2" fillId="0" borderId="41" xfId="14" applyBorder="1"/>
    <xf numFmtId="0" fontId="5" fillId="0" borderId="0" xfId="14" applyFont="1" applyAlignment="1" applyProtection="1">
      <alignment horizontal="center" vertical="center" wrapText="1"/>
      <protection locked="0"/>
    </xf>
    <xf numFmtId="0" fontId="19" fillId="4" borderId="9" xfId="14" applyFont="1" applyFill="1" applyBorder="1" applyAlignment="1" applyProtection="1">
      <alignment horizontal="center" vertical="center"/>
      <protection locked="0"/>
    </xf>
    <xf numFmtId="167" fontId="5" fillId="0" borderId="41" xfId="14" applyNumberFormat="1" applyFont="1" applyBorder="1" applyAlignment="1" applyProtection="1">
      <alignment horizontal="center" vertical="center"/>
      <protection locked="0"/>
    </xf>
    <xf numFmtId="166" fontId="5" fillId="0" borderId="0" xfId="14" applyNumberFormat="1" applyFont="1" applyAlignment="1" applyProtection="1">
      <alignment horizontal="center" vertical="center"/>
      <protection locked="0"/>
    </xf>
    <xf numFmtId="0" fontId="6" fillId="0" borderId="0" xfId="14" applyFont="1" applyAlignment="1" applyProtection="1">
      <alignment horizontal="center" vertical="center"/>
      <protection locked="0"/>
    </xf>
    <xf numFmtId="0" fontId="6" fillId="0" borderId="14" xfId="14" applyFont="1" applyBorder="1" applyAlignment="1" applyProtection="1">
      <alignment horizontal="left" vertical="center"/>
      <protection locked="0"/>
    </xf>
    <xf numFmtId="0" fontId="6" fillId="0" borderId="0" xfId="14" applyFont="1" applyAlignment="1" applyProtection="1">
      <alignment horizontal="left"/>
      <protection locked="0"/>
    </xf>
    <xf numFmtId="164" fontId="5" fillId="0" borderId="38" xfId="5" applyNumberFormat="1" applyFont="1" applyFill="1" applyBorder="1" applyAlignment="1" applyProtection="1">
      <alignment horizontal="center" vertical="center"/>
    </xf>
    <xf numFmtId="167" fontId="5" fillId="0" borderId="41" xfId="14" applyNumberFormat="1" applyFont="1" applyBorder="1" applyAlignment="1">
      <alignment horizontal="right"/>
    </xf>
    <xf numFmtId="169" fontId="4" fillId="6" borderId="44" xfId="6" applyNumberFormat="1" applyFont="1" applyFill="1" applyBorder="1" applyAlignment="1" applyProtection="1">
      <alignment horizontal="center" vertical="center"/>
      <protection locked="0"/>
    </xf>
    <xf numFmtId="3" fontId="33" fillId="0" borderId="38" xfId="14" applyNumberFormat="1" applyFont="1" applyBorder="1" applyAlignment="1" applyProtection="1">
      <alignment horizontal="center" vertical="center"/>
      <protection locked="0"/>
    </xf>
    <xf numFmtId="3" fontId="33" fillId="0" borderId="22" xfId="14" applyNumberFormat="1" applyFont="1" applyBorder="1" applyAlignment="1" applyProtection="1">
      <alignment horizontal="center" vertical="center"/>
      <protection locked="0"/>
    </xf>
    <xf numFmtId="170" fontId="33" fillId="0" borderId="37" xfId="5" applyNumberFormat="1" applyFont="1" applyFill="1" applyBorder="1" applyAlignment="1" applyProtection="1">
      <alignment horizontal="center" vertical="center"/>
      <protection locked="0"/>
    </xf>
    <xf numFmtId="3" fontId="33" fillId="0" borderId="39" xfId="14" applyNumberFormat="1" applyFont="1" applyBorder="1" applyAlignment="1" applyProtection="1">
      <alignment horizontal="center" vertical="center"/>
      <protection locked="0"/>
    </xf>
    <xf numFmtId="3" fontId="33" fillId="0" borderId="37" xfId="14" applyNumberFormat="1" applyFont="1" applyBorder="1" applyAlignment="1" applyProtection="1">
      <alignment horizontal="center" vertical="center"/>
      <protection locked="0"/>
    </xf>
    <xf numFmtId="0" fontId="31" fillId="0" borderId="41" xfId="14" applyFont="1" applyBorder="1" applyProtection="1">
      <protection locked="0"/>
    </xf>
    <xf numFmtId="165" fontId="33" fillId="0" borderId="36" xfId="0" applyNumberFormat="1" applyFont="1" applyBorder="1" applyAlignment="1">
      <alignment horizontal="center"/>
    </xf>
    <xf numFmtId="165" fontId="33" fillId="0" borderId="37" xfId="5" applyFont="1" applyFill="1" applyBorder="1" applyAlignment="1" applyProtection="1">
      <alignment horizontal="center" vertical="center"/>
      <protection locked="0"/>
    </xf>
    <xf numFmtId="2" fontId="33" fillId="0" borderId="38" xfId="14" applyNumberFormat="1" applyFont="1" applyBorder="1" applyAlignment="1" applyProtection="1">
      <alignment horizontal="center" vertical="center"/>
      <protection locked="0"/>
    </xf>
    <xf numFmtId="2" fontId="33" fillId="0" borderId="41" xfId="14" applyNumberFormat="1" applyFont="1" applyBorder="1" applyAlignment="1" applyProtection="1">
      <alignment horizontal="center" vertical="center"/>
      <protection locked="0"/>
    </xf>
    <xf numFmtId="167" fontId="33" fillId="0" borderId="38" xfId="14" applyNumberFormat="1" applyFont="1" applyBorder="1" applyAlignment="1" applyProtection="1">
      <alignment horizontal="center" vertical="center"/>
      <protection locked="0"/>
    </xf>
    <xf numFmtId="167" fontId="33" fillId="0" borderId="38" xfId="14" applyNumberFormat="1" applyFont="1" applyBorder="1" applyAlignment="1">
      <alignment horizontal="center" vertical="center"/>
    </xf>
    <xf numFmtId="167" fontId="33" fillId="0" borderId="41" xfId="14" applyNumberFormat="1" applyFont="1" applyBorder="1" applyAlignment="1" applyProtection="1">
      <alignment horizontal="center" vertical="center"/>
      <protection locked="0"/>
    </xf>
    <xf numFmtId="10" fontId="33" fillId="0" borderId="41" xfId="5" applyNumberFormat="1" applyFont="1" applyFill="1" applyBorder="1" applyAlignment="1" applyProtection="1">
      <alignment horizontal="center" vertical="center"/>
      <protection locked="0"/>
    </xf>
    <xf numFmtId="3" fontId="33" fillId="0" borderId="23" xfId="14" applyNumberFormat="1" applyFont="1" applyBorder="1" applyAlignment="1" applyProtection="1">
      <alignment horizontal="center" vertical="center"/>
      <protection locked="0"/>
    </xf>
    <xf numFmtId="2" fontId="33" fillId="0" borderId="38" xfId="14" applyNumberFormat="1" applyFont="1" applyBorder="1" applyAlignment="1">
      <alignment horizontal="center" vertical="center"/>
    </xf>
    <xf numFmtId="2" fontId="5" fillId="0" borderId="16" xfId="0" applyNumberFormat="1" applyFont="1" applyBorder="1" applyAlignment="1">
      <alignment horizontal="right"/>
    </xf>
    <xf numFmtId="3" fontId="5" fillId="0" borderId="88" xfId="14" applyNumberFormat="1" applyFont="1" applyBorder="1" applyAlignment="1">
      <alignment horizontal="center" vertical="center"/>
    </xf>
    <xf numFmtId="3" fontId="5" fillId="0" borderId="0" xfId="0" applyNumberFormat="1" applyFont="1" applyAlignment="1">
      <alignment horizontal="center"/>
    </xf>
    <xf numFmtId="170" fontId="5" fillId="0" borderId="6" xfId="12" applyNumberFormat="1" applyFont="1" applyFill="1" applyBorder="1" applyAlignment="1" applyProtection="1">
      <alignment horizontal="center"/>
    </xf>
    <xf numFmtId="165" fontId="5" fillId="0" borderId="6" xfId="0" applyNumberFormat="1" applyFont="1" applyBorder="1" applyAlignment="1">
      <alignment horizontal="center"/>
    </xf>
    <xf numFmtId="168" fontId="5" fillId="0" borderId="0" xfId="5" applyNumberFormat="1" applyFont="1" applyFill="1" applyBorder="1" applyAlignment="1" applyProtection="1">
      <alignment horizontal="center" vertical="center"/>
    </xf>
    <xf numFmtId="165" fontId="5" fillId="0" borderId="6" xfId="5" applyFont="1" applyFill="1" applyBorder="1" applyAlignment="1" applyProtection="1">
      <alignment horizontal="center" vertical="center"/>
    </xf>
    <xf numFmtId="0" fontId="5" fillId="0" borderId="6" xfId="5" applyNumberFormat="1" applyFont="1" applyFill="1" applyBorder="1" applyAlignment="1" applyProtection="1">
      <alignment horizontal="center" vertical="center"/>
    </xf>
    <xf numFmtId="167" fontId="5" fillId="0" borderId="39" xfId="14" applyNumberFormat="1" applyFont="1" applyBorder="1" applyAlignment="1">
      <alignment horizontal="center" vertical="center"/>
    </xf>
    <xf numFmtId="164" fontId="5" fillId="0" borderId="39" xfId="5" applyNumberFormat="1" applyFont="1" applyFill="1" applyBorder="1" applyAlignment="1" applyProtection="1">
      <alignment horizontal="center" vertical="center"/>
    </xf>
    <xf numFmtId="10" fontId="5" fillId="0" borderId="42" xfId="5" applyNumberFormat="1" applyFont="1" applyFill="1" applyBorder="1" applyAlignment="1" applyProtection="1">
      <alignment horizontal="center" vertical="center"/>
    </xf>
    <xf numFmtId="172" fontId="5" fillId="0" borderId="16" xfId="14" applyNumberFormat="1" applyFont="1" applyBorder="1" applyAlignment="1">
      <alignment horizontal="center" vertical="center"/>
    </xf>
    <xf numFmtId="2" fontId="5" fillId="0" borderId="39" xfId="0" applyNumberFormat="1" applyFont="1" applyBorder="1" applyAlignment="1">
      <alignment horizontal="center"/>
    </xf>
    <xf numFmtId="167" fontId="5" fillId="0" borderId="16" xfId="14" applyNumberFormat="1" applyFont="1" applyBorder="1" applyAlignment="1">
      <alignment horizontal="center" vertical="center"/>
    </xf>
    <xf numFmtId="1" fontId="5" fillId="0" borderId="16" xfId="14" applyNumberFormat="1" applyFont="1" applyBorder="1" applyAlignment="1">
      <alignment horizontal="center" vertical="center"/>
    </xf>
    <xf numFmtId="164" fontId="5" fillId="0" borderId="42" xfId="5" applyNumberFormat="1" applyFont="1" applyFill="1" applyBorder="1" applyAlignment="1" applyProtection="1">
      <alignment horizontal="center" vertical="center"/>
    </xf>
    <xf numFmtId="3" fontId="5" fillId="0" borderId="38" xfId="14" applyNumberFormat="1" applyFont="1" applyBorder="1" applyAlignment="1">
      <alignment horizontal="center" vertical="center"/>
    </xf>
    <xf numFmtId="3" fontId="5" fillId="0" borderId="38" xfId="14" applyNumberFormat="1" applyFont="1" applyBorder="1" applyAlignment="1" applyProtection="1">
      <alignment horizontal="center" vertical="center"/>
      <protection locked="0"/>
    </xf>
    <xf numFmtId="3" fontId="5" fillId="0" borderId="22" xfId="14" applyNumberFormat="1" applyFont="1" applyBorder="1" applyAlignment="1" applyProtection="1">
      <alignment horizontal="center" vertical="center"/>
      <protection locked="0"/>
    </xf>
    <xf numFmtId="170" fontId="5" fillId="0" borderId="37" xfId="5" applyNumberFormat="1" applyFont="1" applyFill="1" applyBorder="1" applyAlignment="1" applyProtection="1">
      <alignment horizontal="center" vertical="center"/>
      <protection locked="0"/>
    </xf>
    <xf numFmtId="3" fontId="5" fillId="0" borderId="36" xfId="14" applyNumberFormat="1" applyFont="1" applyBorder="1" applyAlignment="1" applyProtection="1">
      <alignment horizontal="center" vertical="center"/>
      <protection locked="0"/>
    </xf>
    <xf numFmtId="0" fontId="2" fillId="0" borderId="41" xfId="14" applyBorder="1" applyProtection="1">
      <protection locked="0"/>
    </xf>
    <xf numFmtId="165" fontId="5" fillId="0" borderId="37" xfId="5" applyFont="1" applyFill="1" applyBorder="1" applyAlignment="1" applyProtection="1">
      <alignment horizontal="center" vertical="center"/>
      <protection locked="0"/>
    </xf>
    <xf numFmtId="2" fontId="5" fillId="0" borderId="38" xfId="14" applyNumberFormat="1" applyFont="1" applyBorder="1" applyAlignment="1" applyProtection="1">
      <alignment horizontal="center" vertical="center"/>
      <protection locked="0"/>
    </xf>
    <xf numFmtId="2" fontId="5" fillId="0" borderId="41" xfId="14" applyNumberFormat="1" applyFont="1" applyBorder="1" applyAlignment="1" applyProtection="1">
      <alignment horizontal="center" vertical="center"/>
      <protection locked="0"/>
    </xf>
    <xf numFmtId="167" fontId="5" fillId="0" borderId="38" xfId="14" applyNumberFormat="1" applyFont="1" applyBorder="1" applyAlignment="1" applyProtection="1">
      <alignment horizontal="center" vertical="center"/>
      <protection locked="0"/>
    </xf>
    <xf numFmtId="167" fontId="5" fillId="0" borderId="38" xfId="14" applyNumberFormat="1" applyFont="1" applyBorder="1" applyAlignment="1">
      <alignment horizontal="center" vertical="center"/>
    </xf>
    <xf numFmtId="164" fontId="5" fillId="0" borderId="38" xfId="5" applyNumberFormat="1" applyFont="1" applyFill="1" applyBorder="1" applyAlignment="1" applyProtection="1">
      <alignment horizontal="center" vertical="center"/>
      <protection locked="0"/>
    </xf>
    <xf numFmtId="10" fontId="5" fillId="0" borderId="41" xfId="5" applyNumberFormat="1" applyFont="1" applyFill="1" applyBorder="1" applyAlignment="1" applyProtection="1">
      <alignment horizontal="center" vertical="center"/>
      <protection locked="0"/>
    </xf>
    <xf numFmtId="3" fontId="5" fillId="0" borderId="23" xfId="14" applyNumberFormat="1" applyFont="1" applyBorder="1" applyAlignment="1" applyProtection="1">
      <alignment horizontal="center" vertical="center"/>
      <protection locked="0"/>
    </xf>
    <xf numFmtId="2" fontId="5" fillId="0" borderId="38" xfId="14" applyNumberFormat="1" applyFont="1" applyBorder="1" applyAlignment="1">
      <alignment horizontal="center" vertical="center"/>
    </xf>
    <xf numFmtId="2" fontId="5" fillId="0" borderId="0" xfId="14" applyNumberFormat="1" applyFont="1" applyAlignment="1">
      <alignment horizontal="center" vertical="center"/>
    </xf>
    <xf numFmtId="167" fontId="5" fillId="0" borderId="0" xfId="14" applyNumberFormat="1" applyFont="1" applyAlignment="1" applyProtection="1">
      <alignment horizontal="center" vertical="center"/>
      <protection locked="0"/>
    </xf>
    <xf numFmtId="0" fontId="2" fillId="0" borderId="22" xfId="14" applyBorder="1"/>
    <xf numFmtId="0" fontId="2" fillId="0" borderId="89" xfId="14" applyBorder="1"/>
    <xf numFmtId="167" fontId="5" fillId="0" borderId="43" xfId="14" applyNumberFormat="1" applyFont="1" applyBorder="1" applyAlignment="1">
      <alignment horizontal="right"/>
    </xf>
    <xf numFmtId="10" fontId="5" fillId="0" borderId="41" xfId="5" applyNumberFormat="1" applyFont="1" applyFill="1" applyBorder="1" applyAlignment="1" applyProtection="1">
      <alignment horizontal="center" vertical="center"/>
    </xf>
    <xf numFmtId="2" fontId="5" fillId="0" borderId="38" xfId="0" applyNumberFormat="1" applyFont="1" applyBorder="1" applyAlignment="1">
      <alignment horizontal="center"/>
    </xf>
    <xf numFmtId="167" fontId="5" fillId="0" borderId="43" xfId="14" applyNumberFormat="1" applyFont="1" applyBorder="1" applyAlignment="1">
      <alignment horizontal="center" vertical="center"/>
    </xf>
    <xf numFmtId="0" fontId="19" fillId="4" borderId="40" xfId="14" applyFont="1" applyFill="1" applyBorder="1" applyAlignment="1">
      <alignment horizontal="left" vertical="center"/>
    </xf>
    <xf numFmtId="0" fontId="19" fillId="4" borderId="9" xfId="14" applyFont="1" applyFill="1" applyBorder="1" applyAlignment="1">
      <alignment horizontal="left" vertical="center"/>
    </xf>
    <xf numFmtId="1" fontId="19" fillId="0" borderId="2" xfId="14" applyNumberFormat="1" applyFont="1" applyBorder="1" applyAlignment="1">
      <alignment horizontal="left"/>
    </xf>
    <xf numFmtId="1" fontId="19" fillId="0" borderId="75" xfId="14" applyNumberFormat="1" applyFont="1" applyBorder="1" applyAlignment="1">
      <alignment horizontal="left"/>
    </xf>
    <xf numFmtId="0" fontId="19" fillId="0" borderId="15" xfId="14" applyFont="1" applyBorder="1"/>
    <xf numFmtId="0" fontId="31" fillId="0" borderId="0" xfId="14" applyFont="1" applyAlignment="1">
      <alignment horizontal="center"/>
    </xf>
    <xf numFmtId="0" fontId="8" fillId="0" borderId="11" xfId="14" applyFont="1" applyBorder="1" applyAlignment="1">
      <alignment horizontal="center" vertical="center"/>
    </xf>
    <xf numFmtId="0" fontId="8" fillId="0" borderId="11" xfId="14" applyFont="1" applyBorder="1"/>
    <xf numFmtId="0" fontId="8" fillId="0" borderId="10" xfId="14" applyFont="1" applyBorder="1" applyAlignment="1" applyProtection="1">
      <alignment horizontal="left"/>
      <protection locked="0"/>
    </xf>
    <xf numFmtId="0" fontId="19" fillId="4" borderId="70" xfId="14" applyFont="1" applyFill="1" applyBorder="1" applyAlignment="1" applyProtection="1">
      <alignment horizontal="left" vertical="center"/>
      <protection locked="0"/>
    </xf>
    <xf numFmtId="167" fontId="5" fillId="0" borderId="90" xfId="14" applyNumberFormat="1" applyFont="1" applyBorder="1" applyAlignment="1" applyProtection="1">
      <alignment horizontal="left"/>
      <protection locked="0"/>
    </xf>
    <xf numFmtId="167" fontId="5" fillId="0" borderId="91" xfId="14" applyNumberFormat="1" applyFont="1" applyBorder="1" applyAlignment="1" applyProtection="1">
      <alignment horizontal="left"/>
      <protection locked="0"/>
    </xf>
    <xf numFmtId="0" fontId="5" fillId="7" borderId="15" xfId="14" applyFont="1" applyFill="1" applyBorder="1"/>
    <xf numFmtId="167" fontId="5" fillId="0" borderId="92" xfId="14" applyNumberFormat="1" applyFont="1" applyBorder="1" applyAlignment="1" applyProtection="1">
      <alignment horizontal="left"/>
      <protection locked="0"/>
    </xf>
    <xf numFmtId="0" fontId="5" fillId="0" borderId="15" xfId="14" applyFont="1" applyBorder="1"/>
    <xf numFmtId="167" fontId="5" fillId="0" borderId="93" xfId="14" applyNumberFormat="1" applyFont="1" applyBorder="1" applyAlignment="1" applyProtection="1">
      <alignment horizontal="left"/>
      <protection locked="0"/>
    </xf>
    <xf numFmtId="164" fontId="5" fillId="0" borderId="91" xfId="5" applyNumberFormat="1" applyFont="1" applyFill="1" applyBorder="1" applyAlignment="1" applyProtection="1">
      <alignment horizontal="left"/>
      <protection locked="0"/>
    </xf>
    <xf numFmtId="0" fontId="5" fillId="0" borderId="50" xfId="14" applyFont="1" applyBorder="1"/>
    <xf numFmtId="164" fontId="5" fillId="0" borderId="90" xfId="5" applyNumberFormat="1" applyFont="1" applyFill="1" applyBorder="1" applyAlignment="1" applyProtection="1">
      <alignment horizontal="left"/>
      <protection locked="0"/>
    </xf>
    <xf numFmtId="0" fontId="5" fillId="0" borderId="94" xfId="14" applyFont="1" applyBorder="1"/>
    <xf numFmtId="164" fontId="5" fillId="0" borderId="93" xfId="5" applyNumberFormat="1" applyFont="1" applyFill="1" applyBorder="1" applyAlignment="1" applyProtection="1">
      <alignment horizontal="left"/>
      <protection locked="0"/>
    </xf>
    <xf numFmtId="0" fontId="2" fillId="0" borderId="15" xfId="14" applyBorder="1" applyAlignment="1">
      <alignment horizontal="right"/>
    </xf>
    <xf numFmtId="0" fontId="2" fillId="0" borderId="43" xfId="14" applyBorder="1" applyAlignment="1">
      <alignment horizontal="center"/>
    </xf>
    <xf numFmtId="4" fontId="5" fillId="0" borderId="96" xfId="5" applyNumberFormat="1" applyFont="1" applyFill="1" applyBorder="1" applyAlignment="1" applyProtection="1">
      <alignment horizontal="center" vertical="center"/>
    </xf>
    <xf numFmtId="4" fontId="5" fillId="0" borderId="98" xfId="5" applyNumberFormat="1" applyFont="1" applyFill="1" applyBorder="1" applyAlignment="1" applyProtection="1">
      <alignment horizontal="center" vertical="center"/>
    </xf>
    <xf numFmtId="167" fontId="5" fillId="0" borderId="97" xfId="14" applyNumberFormat="1" applyFont="1" applyBorder="1" applyAlignment="1">
      <alignment horizontal="right"/>
    </xf>
    <xf numFmtId="167" fontId="5" fillId="0" borderId="99" xfId="14" applyNumberFormat="1" applyFont="1" applyBorder="1" applyAlignment="1" applyProtection="1">
      <alignment horizontal="left"/>
      <protection locked="0"/>
    </xf>
    <xf numFmtId="0" fontId="5" fillId="0" borderId="36" xfId="5" applyNumberFormat="1" applyFont="1" applyFill="1" applyBorder="1" applyAlignment="1" applyProtection="1">
      <alignment horizontal="center" vertical="center"/>
    </xf>
    <xf numFmtId="165" fontId="5" fillId="0" borderId="95" xfId="0" applyNumberFormat="1" applyFont="1" applyBorder="1" applyAlignment="1">
      <alignment horizontal="center"/>
    </xf>
    <xf numFmtId="0" fontId="19" fillId="0" borderId="96" xfId="14" applyFont="1" applyBorder="1" applyAlignment="1">
      <alignment horizontal="left" vertical="center"/>
    </xf>
    <xf numFmtId="0" fontId="33" fillId="0" borderId="36" xfId="5" applyNumberFormat="1" applyFont="1" applyFill="1" applyBorder="1" applyAlignment="1" applyProtection="1">
      <alignment horizontal="center" vertical="center"/>
    </xf>
    <xf numFmtId="167" fontId="5" fillId="0" borderId="100" xfId="14" applyNumberFormat="1" applyFont="1" applyBorder="1" applyAlignment="1" applyProtection="1">
      <alignment horizontal="center" vertical="center"/>
      <protection locked="0"/>
    </xf>
    <xf numFmtId="9" fontId="31" fillId="0" borderId="100" xfId="1" applyFont="1" applyFill="1" applyBorder="1" applyAlignment="1">
      <alignment horizontal="center"/>
    </xf>
    <xf numFmtId="0" fontId="19" fillId="4" borderId="40" xfId="14" applyFont="1" applyFill="1" applyBorder="1" applyAlignment="1">
      <alignment horizontal="center" vertical="center"/>
    </xf>
    <xf numFmtId="167" fontId="5" fillId="0" borderId="37" xfId="14" applyNumberFormat="1" applyFont="1" applyBorder="1" applyAlignment="1">
      <alignment horizontal="right"/>
    </xf>
    <xf numFmtId="0" fontId="2" fillId="0" borderId="42" xfId="14" applyBorder="1"/>
    <xf numFmtId="0" fontId="2" fillId="0" borderId="101" xfId="14" applyBorder="1"/>
    <xf numFmtId="167" fontId="5" fillId="0" borderId="96" xfId="14" applyNumberFormat="1" applyFont="1" applyBorder="1" applyAlignment="1">
      <alignment horizontal="right"/>
    </xf>
    <xf numFmtId="0" fontId="2" fillId="0" borderId="23" xfId="14" applyBorder="1"/>
    <xf numFmtId="0" fontId="5" fillId="0" borderId="23" xfId="14" applyFont="1" applyBorder="1" applyAlignment="1">
      <alignment horizontal="right"/>
    </xf>
    <xf numFmtId="164" fontId="5" fillId="0" borderId="102" xfId="5" applyNumberFormat="1" applyFont="1" applyFill="1" applyBorder="1" applyAlignment="1" applyProtection="1">
      <alignment horizontal="left"/>
      <protection locked="0"/>
    </xf>
    <xf numFmtId="164" fontId="5" fillId="0" borderId="36" xfId="5" applyNumberFormat="1" applyFont="1" applyFill="1" applyBorder="1" applyAlignment="1" applyProtection="1">
      <alignment horizontal="center" vertical="center"/>
      <protection locked="0"/>
    </xf>
    <xf numFmtId="164" fontId="5" fillId="0" borderId="43" xfId="5" applyNumberFormat="1" applyFont="1" applyFill="1" applyBorder="1" applyAlignment="1" applyProtection="1">
      <alignment horizontal="center" vertical="center"/>
      <protection locked="0"/>
    </xf>
    <xf numFmtId="165" fontId="5" fillId="0" borderId="43" xfId="0" applyNumberFormat="1" applyFont="1" applyBorder="1"/>
    <xf numFmtId="167" fontId="5" fillId="0" borderId="101" xfId="14" applyNumberFormat="1" applyFont="1" applyBorder="1" applyAlignment="1">
      <alignment horizontal="right"/>
    </xf>
    <xf numFmtId="165" fontId="5" fillId="0" borderId="36" xfId="0" applyNumberFormat="1" applyFont="1" applyBorder="1"/>
    <xf numFmtId="164" fontId="5" fillId="0" borderId="36" xfId="5" applyNumberFormat="1" applyFont="1" applyFill="1" applyBorder="1" applyAlignment="1" applyProtection="1">
      <alignment horizontal="center" vertical="center"/>
    </xf>
    <xf numFmtId="2" fontId="19" fillId="4" borderId="9" xfId="14" applyNumberFormat="1" applyFont="1" applyFill="1" applyBorder="1" applyAlignment="1">
      <alignment horizontal="center" vertical="center"/>
    </xf>
    <xf numFmtId="3" fontId="5" fillId="0" borderId="23" xfId="14" applyNumberFormat="1" applyFont="1" applyBorder="1" applyAlignment="1">
      <alignment horizontal="center" vertical="center"/>
    </xf>
    <xf numFmtId="164" fontId="5" fillId="0" borderId="89" xfId="5" applyNumberFormat="1" applyFont="1" applyFill="1" applyBorder="1" applyAlignment="1" applyProtection="1">
      <alignment horizontal="center" vertical="center"/>
    </xf>
    <xf numFmtId="167" fontId="5" fillId="0" borderId="16" xfId="14" applyNumberFormat="1" applyFont="1" applyBorder="1" applyAlignment="1">
      <alignment horizontal="right"/>
    </xf>
    <xf numFmtId="167" fontId="5" fillId="0" borderId="0" xfId="14" applyNumberFormat="1" applyFont="1" applyAlignment="1">
      <alignment horizontal="right"/>
    </xf>
    <xf numFmtId="0" fontId="19" fillId="4" borderId="34" xfId="14" applyFont="1" applyFill="1" applyBorder="1"/>
    <xf numFmtId="1" fontId="5" fillId="0" borderId="88" xfId="14" applyNumberFormat="1" applyFont="1" applyBorder="1" applyAlignment="1">
      <alignment horizontal="left"/>
    </xf>
    <xf numFmtId="1" fontId="19" fillId="0" borderId="88" xfId="14" applyNumberFormat="1" applyFont="1" applyBorder="1" applyAlignment="1">
      <alignment horizontal="left"/>
    </xf>
    <xf numFmtId="1" fontId="19" fillId="0" borderId="37" xfId="14" applyNumberFormat="1" applyFont="1" applyBorder="1" applyAlignment="1">
      <alignment horizontal="left"/>
    </xf>
    <xf numFmtId="0" fontId="19" fillId="0" borderId="0" xfId="14" applyFont="1"/>
    <xf numFmtId="1" fontId="5" fillId="0" borderId="6" xfId="14" applyNumberFormat="1" applyFont="1" applyBorder="1" applyAlignment="1">
      <alignment horizontal="left"/>
    </xf>
    <xf numFmtId="1" fontId="5" fillId="0" borderId="0" xfId="14" applyNumberFormat="1" applyFont="1" applyAlignment="1">
      <alignment horizontal="left"/>
    </xf>
    <xf numFmtId="1" fontId="5" fillId="0" borderId="39" xfId="14" applyNumberFormat="1" applyFont="1" applyBorder="1" applyAlignment="1">
      <alignment horizontal="left"/>
    </xf>
    <xf numFmtId="1" fontId="5" fillId="0" borderId="37" xfId="14" applyNumberFormat="1" applyFont="1" applyBorder="1" applyAlignment="1">
      <alignment horizontal="left"/>
    </xf>
    <xf numFmtId="0" fontId="19" fillId="0" borderId="96" xfId="14" applyFont="1" applyBorder="1"/>
    <xf numFmtId="1" fontId="5" fillId="0" borderId="16" xfId="14" applyNumberFormat="1" applyFont="1" applyBorder="1" applyAlignment="1">
      <alignment horizontal="left"/>
    </xf>
    <xf numFmtId="0" fontId="19" fillId="4" borderId="40" xfId="14" applyFont="1" applyFill="1" applyBorder="1"/>
    <xf numFmtId="2" fontId="5" fillId="7" borderId="39" xfId="14" applyNumberFormat="1" applyFont="1" applyFill="1" applyBorder="1" applyAlignment="1">
      <alignment horizontal="left"/>
    </xf>
    <xf numFmtId="2" fontId="5" fillId="0" borderId="39" xfId="14" applyNumberFormat="1" applyFont="1" applyBorder="1" applyAlignment="1">
      <alignment horizontal="left"/>
    </xf>
    <xf numFmtId="49" fontId="5" fillId="0" borderId="39" xfId="14" applyNumberFormat="1" applyFont="1" applyBorder="1" applyAlignment="1">
      <alignment horizontal="left"/>
    </xf>
    <xf numFmtId="1" fontId="5" fillId="0" borderId="42" xfId="14" applyNumberFormat="1" applyFont="1" applyBorder="1" applyAlignment="1">
      <alignment horizontal="left"/>
    </xf>
    <xf numFmtId="1" fontId="5" fillId="0" borderId="39" xfId="14" applyNumberFormat="1" applyFont="1" applyBorder="1" applyAlignment="1">
      <alignment horizontal="right"/>
    </xf>
    <xf numFmtId="0" fontId="5" fillId="0" borderId="60" xfId="14" applyFont="1" applyBorder="1"/>
    <xf numFmtId="1" fontId="5" fillId="0" borderId="101" xfId="14" applyNumberFormat="1" applyFont="1" applyBorder="1" applyAlignment="1">
      <alignment horizontal="left"/>
    </xf>
    <xf numFmtId="0" fontId="5" fillId="0" borderId="0" xfId="14" applyFont="1" applyAlignment="1" applyProtection="1">
      <alignment horizontal="center" vertical="center"/>
      <protection locked="0"/>
    </xf>
    <xf numFmtId="0" fontId="5" fillId="0" borderId="0" xfId="14" applyFont="1" applyAlignment="1" applyProtection="1">
      <alignment horizontal="left"/>
      <protection locked="0"/>
    </xf>
    <xf numFmtId="0" fontId="35" fillId="0" borderId="0" xfId="14" applyFont="1"/>
    <xf numFmtId="2" fontId="5" fillId="0" borderId="0" xfId="14" applyNumberFormat="1" applyFont="1"/>
    <xf numFmtId="0" fontId="36" fillId="0" borderId="0" xfId="0" applyFont="1"/>
    <xf numFmtId="0" fontId="37" fillId="0" borderId="0" xfId="0" applyFont="1" applyAlignment="1">
      <alignment vertical="top"/>
    </xf>
    <xf numFmtId="0" fontId="2" fillId="0" borderId="9" xfId="0" applyFont="1" applyBorder="1" applyAlignment="1">
      <alignment horizontal="center" vertical="center" wrapText="1"/>
    </xf>
    <xf numFmtId="0" fontId="2" fillId="0" borderId="9" xfId="0" applyFont="1" applyBorder="1" applyAlignment="1">
      <alignment horizontal="center" wrapText="1"/>
    </xf>
    <xf numFmtId="0" fontId="21" fillId="0" borderId="9" xfId="0" applyFont="1" applyBorder="1" applyAlignment="1">
      <alignment horizontal="center" vertical="center" wrapText="1"/>
    </xf>
    <xf numFmtId="2" fontId="5" fillId="0" borderId="38" xfId="0" applyNumberFormat="1" applyFont="1" applyBorder="1" applyAlignment="1">
      <alignment horizontal="center" vertical="center"/>
    </xf>
    <xf numFmtId="3" fontId="5" fillId="10" borderId="3" xfId="14" applyNumberFormat="1" applyFont="1" applyFill="1" applyBorder="1" applyAlignment="1" applyProtection="1">
      <alignment horizontal="center" vertical="center" wrapText="1"/>
      <protection locked="0"/>
    </xf>
    <xf numFmtId="0" fontId="8" fillId="0" borderId="15" xfId="14" applyFont="1" applyBorder="1"/>
    <xf numFmtId="0" fontId="5" fillId="0" borderId="9" xfId="14" applyFont="1" applyBorder="1"/>
    <xf numFmtId="0" fontId="5" fillId="0" borderId="9" xfId="14" applyFont="1" applyBorder="1" applyAlignment="1">
      <alignment horizontal="center"/>
    </xf>
    <xf numFmtId="166" fontId="5" fillId="0" borderId="9" xfId="14" applyNumberFormat="1" applyFont="1" applyBorder="1" applyAlignment="1" applyProtection="1">
      <alignment horizontal="center" vertical="center"/>
      <protection locked="0"/>
    </xf>
    <xf numFmtId="0" fontId="5" fillId="0" borderId="9" xfId="14" applyFont="1" applyBorder="1" applyAlignment="1">
      <alignment horizontal="right"/>
    </xf>
    <xf numFmtId="2" fontId="5" fillId="0" borderId="9" xfId="14" applyNumberFormat="1" applyFont="1" applyBorder="1"/>
    <xf numFmtId="0" fontId="5" fillId="0" borderId="9" xfId="14" applyFont="1" applyBorder="1" applyAlignment="1">
      <alignment horizontal="center" vertical="center"/>
    </xf>
    <xf numFmtId="0" fontId="5" fillId="0" borderId="9" xfId="14" applyFont="1" applyBorder="1" applyAlignment="1" applyProtection="1">
      <alignment horizontal="left"/>
      <protection locked="0"/>
    </xf>
    <xf numFmtId="167" fontId="5" fillId="0" borderId="9" xfId="14" applyNumberFormat="1" applyFont="1" applyBorder="1" applyAlignment="1">
      <alignment horizontal="right"/>
    </xf>
    <xf numFmtId="2" fontId="5" fillId="0" borderId="9" xfId="14" applyNumberFormat="1" applyFont="1" applyBorder="1" applyAlignment="1">
      <alignment horizontal="center"/>
    </xf>
    <xf numFmtId="0" fontId="5" fillId="0" borderId="9" xfId="14" applyFont="1" applyBorder="1" applyAlignment="1">
      <alignment horizontal="left"/>
    </xf>
    <xf numFmtId="0" fontId="19" fillId="0" borderId="9" xfId="14" applyFont="1" applyBorder="1"/>
    <xf numFmtId="0" fontId="19" fillId="4" borderId="68" xfId="14" applyFont="1" applyFill="1" applyBorder="1"/>
    <xf numFmtId="0" fontId="19" fillId="4" borderId="60" xfId="14" applyFont="1" applyFill="1" applyBorder="1"/>
    <xf numFmtId="0" fontId="19" fillId="4" borderId="28" xfId="14" applyFont="1" applyFill="1" applyBorder="1" applyAlignment="1">
      <alignment horizontal="left" vertical="center"/>
    </xf>
    <xf numFmtId="0" fontId="19" fillId="4" borderId="29" xfId="14" applyFont="1" applyFill="1" applyBorder="1" applyAlignment="1">
      <alignment horizontal="left" vertical="center"/>
    </xf>
    <xf numFmtId="1" fontId="5" fillId="0" borderId="103" xfId="14" applyNumberFormat="1" applyFont="1" applyBorder="1" applyAlignment="1">
      <alignment horizontal="left"/>
    </xf>
    <xf numFmtId="0" fontId="19" fillId="0" borderId="104" xfId="14" applyFont="1" applyBorder="1"/>
    <xf numFmtId="0" fontId="19" fillId="0" borderId="98" xfId="14" applyFont="1" applyBorder="1"/>
    <xf numFmtId="1" fontId="5" fillId="0" borderId="15" xfId="14" applyNumberFormat="1" applyFont="1" applyBorder="1" applyAlignment="1">
      <alignment horizontal="left"/>
    </xf>
    <xf numFmtId="0" fontId="2" fillId="0" borderId="89" xfId="14" applyBorder="1" applyProtection="1">
      <protection locked="0"/>
    </xf>
    <xf numFmtId="0" fontId="2" fillId="0" borderId="87" xfId="14" applyBorder="1" applyProtection="1">
      <protection locked="0"/>
    </xf>
    <xf numFmtId="0" fontId="2" fillId="0" borderId="42" xfId="14" applyBorder="1" applyProtection="1">
      <protection locked="0"/>
    </xf>
    <xf numFmtId="0" fontId="19" fillId="4" borderId="28" xfId="14" applyFont="1" applyFill="1" applyBorder="1"/>
    <xf numFmtId="0" fontId="19" fillId="4" borderId="29" xfId="14" applyFont="1" applyFill="1" applyBorder="1"/>
    <xf numFmtId="0" fontId="5" fillId="7" borderId="16" xfId="14" applyFont="1" applyFill="1" applyBorder="1"/>
    <xf numFmtId="2" fontId="5" fillId="7" borderId="103" xfId="14" applyNumberFormat="1" applyFont="1" applyFill="1" applyBorder="1" applyAlignment="1">
      <alignment horizontal="left"/>
    </xf>
    <xf numFmtId="2" fontId="5" fillId="7" borderId="88" xfId="14" applyNumberFormat="1" applyFont="1" applyFill="1" applyBorder="1" applyAlignment="1">
      <alignment horizontal="left"/>
    </xf>
    <xf numFmtId="0" fontId="5" fillId="0" borderId="16" xfId="14" applyFont="1" applyBorder="1"/>
    <xf numFmtId="2" fontId="5" fillId="0" borderId="103" xfId="14" applyNumberFormat="1" applyFont="1" applyBorder="1" applyAlignment="1">
      <alignment horizontal="left"/>
    </xf>
    <xf numFmtId="2" fontId="5" fillId="0" borderId="88" xfId="14" applyNumberFormat="1" applyFont="1" applyBorder="1" applyAlignment="1">
      <alignment horizontal="left"/>
    </xf>
    <xf numFmtId="2" fontId="5" fillId="0" borderId="105" xfId="14" applyNumberFormat="1" applyFont="1" applyBorder="1" applyAlignment="1">
      <alignment horizontal="left"/>
    </xf>
    <xf numFmtId="49" fontId="5" fillId="0" borderId="103" xfId="14" applyNumberFormat="1" applyFont="1" applyBorder="1" applyAlignment="1">
      <alignment horizontal="left"/>
    </xf>
    <xf numFmtId="49" fontId="5" fillId="0" borderId="88" xfId="14" applyNumberFormat="1" applyFont="1" applyBorder="1" applyAlignment="1">
      <alignment horizontal="left"/>
    </xf>
    <xf numFmtId="1" fontId="5" fillId="0" borderId="105" xfId="14" applyNumberFormat="1" applyFont="1" applyBorder="1" applyAlignment="1">
      <alignment horizontal="left"/>
    </xf>
    <xf numFmtId="1" fontId="5" fillId="0" borderId="87" xfId="14" applyNumberFormat="1" applyFont="1" applyBorder="1" applyAlignment="1">
      <alignment horizontal="left"/>
    </xf>
    <xf numFmtId="1" fontId="5" fillId="0" borderId="2" xfId="14" applyNumberFormat="1" applyFont="1" applyBorder="1" applyAlignment="1">
      <alignment horizontal="right"/>
    </xf>
    <xf numFmtId="1" fontId="5" fillId="0" borderId="88" xfId="14" applyNumberFormat="1" applyFont="1" applyBorder="1" applyAlignment="1">
      <alignment horizontal="right"/>
    </xf>
    <xf numFmtId="0" fontId="5" fillId="0" borderId="34" xfId="14" applyFont="1" applyBorder="1"/>
    <xf numFmtId="0" fontId="8" fillId="0" borderId="106" xfId="14" applyFont="1" applyBorder="1"/>
    <xf numFmtId="0" fontId="6" fillId="0" borderId="107" xfId="14" applyFont="1" applyBorder="1"/>
    <xf numFmtId="0" fontId="2" fillId="6" borderId="50" xfId="14" applyFill="1" applyBorder="1" applyAlignment="1" applyProtection="1">
      <alignment horizontal="left" vertical="center"/>
      <protection locked="0"/>
    </xf>
    <xf numFmtId="1" fontId="2" fillId="6" borderId="51" xfId="14" applyNumberFormat="1" applyFill="1" applyBorder="1" applyAlignment="1" applyProtection="1">
      <alignment horizontal="left"/>
      <protection locked="0"/>
    </xf>
    <xf numFmtId="0" fontId="4" fillId="0" borderId="44" xfId="0" applyFont="1" applyBorder="1" applyAlignment="1">
      <alignment horizontal="center" wrapText="1"/>
    </xf>
    <xf numFmtId="2" fontId="3" fillId="4" borderId="4" xfId="1" applyNumberFormat="1" applyFont="1" applyFill="1" applyBorder="1" applyAlignment="1">
      <alignment horizontal="center"/>
    </xf>
    <xf numFmtId="166" fontId="6" fillId="4" borderId="4" xfId="0" applyNumberFormat="1" applyFont="1" applyFill="1" applyBorder="1" applyAlignment="1">
      <alignment horizontal="left"/>
    </xf>
    <xf numFmtId="166" fontId="6" fillId="0" borderId="4" xfId="0" applyNumberFormat="1" applyFont="1" applyBorder="1" applyAlignment="1">
      <alignment horizontal="left"/>
    </xf>
    <xf numFmtId="1" fontId="19" fillId="0" borderId="6" xfId="14" applyNumberFormat="1" applyFont="1" applyBorder="1" applyAlignment="1">
      <alignment horizontal="left"/>
    </xf>
    <xf numFmtId="1" fontId="5" fillId="0" borderId="100" xfId="14" applyNumberFormat="1" applyFont="1" applyBorder="1" applyAlignment="1">
      <alignment horizontal="left"/>
    </xf>
    <xf numFmtId="166" fontId="5" fillId="0" borderId="0" xfId="14" applyNumberFormat="1" applyFont="1" applyAlignment="1">
      <alignment horizontal="center" vertical="center"/>
    </xf>
    <xf numFmtId="166" fontId="5" fillId="0" borderId="9" xfId="14" applyNumberFormat="1" applyFont="1" applyBorder="1" applyAlignment="1">
      <alignment horizontal="center" vertical="center"/>
    </xf>
    <xf numFmtId="2" fontId="5" fillId="0" borderId="9" xfId="14" applyNumberFormat="1" applyFont="1" applyBorder="1" applyAlignment="1">
      <alignment horizontal="center" vertical="center"/>
    </xf>
    <xf numFmtId="0" fontId="5" fillId="0" borderId="0" xfId="14" applyFont="1" applyProtection="1">
      <protection locked="0"/>
    </xf>
    <xf numFmtId="0" fontId="5" fillId="0" borderId="9" xfId="14" applyFont="1" applyBorder="1" applyAlignment="1" applyProtection="1">
      <alignment horizontal="center"/>
      <protection locked="0"/>
    </xf>
    <xf numFmtId="0" fontId="2" fillId="0" borderId="108" xfId="0" applyFont="1" applyBorder="1" applyAlignment="1">
      <alignment horizontal="center" vertical="center" wrapText="1"/>
    </xf>
    <xf numFmtId="173" fontId="2" fillId="0" borderId="9" xfId="5" applyNumberFormat="1" applyFont="1" applyFill="1" applyBorder="1" applyAlignment="1">
      <alignment horizontal="center"/>
    </xf>
    <xf numFmtId="173" fontId="2" fillId="0" borderId="71" xfId="5" applyNumberFormat="1" applyFont="1" applyFill="1" applyBorder="1" applyAlignment="1">
      <alignment horizontal="center"/>
    </xf>
    <xf numFmtId="0" fontId="3" fillId="0" borderId="27" xfId="0" applyFont="1" applyBorder="1" applyAlignment="1">
      <alignment horizontal="left" vertical="top"/>
    </xf>
    <xf numFmtId="0" fontId="2" fillId="0" borderId="10" xfId="0" applyFont="1" applyBorder="1" applyAlignment="1">
      <alignment horizontal="center"/>
    </xf>
    <xf numFmtId="0" fontId="2" fillId="0" borderId="28" xfId="0" applyFont="1" applyBorder="1" applyAlignment="1">
      <alignment vertical="top"/>
    </xf>
    <xf numFmtId="0" fontId="2" fillId="0" borderId="29" xfId="0" applyFont="1" applyBorder="1" applyAlignment="1">
      <alignment horizontal="left"/>
    </xf>
    <xf numFmtId="0" fontId="2" fillId="0" borderId="29" xfId="0" applyFont="1" applyBorder="1" applyAlignment="1">
      <alignment horizontal="center"/>
    </xf>
    <xf numFmtId="0" fontId="5" fillId="0" borderId="14" xfId="0" applyFont="1" applyBorder="1"/>
    <xf numFmtId="0" fontId="2" fillId="0" borderId="33"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33" xfId="0" applyFont="1" applyBorder="1" applyAlignment="1">
      <alignment wrapText="1"/>
    </xf>
    <xf numFmtId="0" fontId="2" fillId="0" borderId="70" xfId="0" applyFont="1" applyBorder="1" applyAlignment="1">
      <alignment horizontal="center" wrapText="1"/>
    </xf>
    <xf numFmtId="0" fontId="2" fillId="0" borderId="33" xfId="0" applyFont="1" applyBorder="1"/>
    <xf numFmtId="173" fontId="2" fillId="0" borderId="9" xfId="12" applyNumberFormat="1" applyFont="1" applyFill="1" applyBorder="1" applyAlignment="1">
      <alignment horizontal="center"/>
    </xf>
    <xf numFmtId="0" fontId="2" fillId="0" borderId="31" xfId="0" applyFont="1" applyBorder="1"/>
    <xf numFmtId="173" fontId="2" fillId="0" borderId="71" xfId="12" applyNumberFormat="1" applyFont="1" applyFill="1" applyBorder="1" applyAlignment="1">
      <alignment horizontal="center"/>
    </xf>
    <xf numFmtId="9" fontId="2" fillId="0" borderId="44" xfId="0" applyNumberFormat="1" applyFont="1" applyBorder="1" applyAlignment="1">
      <alignment horizontal="left" vertical="center"/>
    </xf>
    <xf numFmtId="166" fontId="3" fillId="4" borderId="5" xfId="0" applyNumberFormat="1" applyFont="1" applyFill="1" applyBorder="1" applyAlignment="1" applyProtection="1">
      <alignment horizontal="center"/>
      <protection locked="0"/>
    </xf>
    <xf numFmtId="2" fontId="5" fillId="0" borderId="9" xfId="14" applyNumberFormat="1" applyFont="1" applyBorder="1" applyAlignment="1" applyProtection="1">
      <alignment horizontal="center"/>
      <protection locked="0"/>
    </xf>
    <xf numFmtId="1" fontId="5" fillId="0" borderId="109" xfId="14" applyNumberFormat="1" applyFont="1" applyBorder="1" applyAlignment="1">
      <alignment horizontal="left"/>
    </xf>
    <xf numFmtId="1" fontId="5" fillId="0" borderId="110" xfId="14" applyNumberFormat="1" applyFont="1" applyBorder="1" applyAlignment="1">
      <alignment horizontal="left"/>
    </xf>
    <xf numFmtId="164" fontId="5" fillId="0" borderId="110" xfId="5" applyNumberFormat="1" applyFont="1" applyFill="1" applyBorder="1" applyAlignment="1" applyProtection="1">
      <alignment horizontal="center" vertical="center"/>
      <protection locked="0"/>
    </xf>
    <xf numFmtId="165" fontId="5" fillId="0" borderId="110" xfId="0" applyNumberFormat="1" applyFont="1" applyBorder="1"/>
    <xf numFmtId="167" fontId="5" fillId="0" borderId="110" xfId="14" applyNumberFormat="1" applyFont="1" applyBorder="1" applyAlignment="1">
      <alignment horizontal="right"/>
    </xf>
    <xf numFmtId="164" fontId="5" fillId="0" borderId="111" xfId="5" applyNumberFormat="1" applyFont="1" applyFill="1" applyBorder="1" applyAlignment="1" applyProtection="1">
      <alignment horizontal="left"/>
      <protection locked="0"/>
    </xf>
    <xf numFmtId="0" fontId="5" fillId="0" borderId="109" xfId="14" applyFont="1" applyBorder="1"/>
    <xf numFmtId="0" fontId="5" fillId="0" borderId="110" xfId="14" applyFont="1" applyBorder="1"/>
    <xf numFmtId="164" fontId="5" fillId="0" borderId="110" xfId="14" applyNumberFormat="1" applyFont="1" applyBorder="1"/>
    <xf numFmtId="0" fontId="6" fillId="0" borderId="110" xfId="14" applyFont="1" applyBorder="1"/>
    <xf numFmtId="0" fontId="5" fillId="0" borderId="110" xfId="14" applyFont="1" applyBorder="1" applyAlignment="1">
      <alignment horizontal="center" vertical="center"/>
    </xf>
    <xf numFmtId="0" fontId="7" fillId="0" borderId="112" xfId="14" applyFont="1" applyBorder="1"/>
    <xf numFmtId="0" fontId="6" fillId="0" borderId="113" xfId="14" applyFont="1" applyBorder="1"/>
    <xf numFmtId="166" fontId="5" fillId="0" borderId="113" xfId="14" applyNumberFormat="1" applyFont="1" applyBorder="1" applyAlignment="1">
      <alignment horizontal="center" vertical="center"/>
    </xf>
    <xf numFmtId="0" fontId="6" fillId="0" borderId="113" xfId="14" applyFont="1" applyBorder="1" applyAlignment="1">
      <alignment horizontal="center" vertical="center"/>
    </xf>
    <xf numFmtId="0" fontId="5" fillId="0" borderId="113" xfId="14" applyFont="1" applyBorder="1" applyAlignment="1">
      <alignment horizontal="center" vertical="center"/>
    </xf>
    <xf numFmtId="0" fontId="5" fillId="0" borderId="113" xfId="14" applyFont="1" applyBorder="1"/>
    <xf numFmtId="0" fontId="6" fillId="0" borderId="114" xfId="14" applyFont="1" applyBorder="1" applyAlignment="1" applyProtection="1">
      <alignment horizontal="left"/>
      <protection locked="0"/>
    </xf>
    <xf numFmtId="0" fontId="19" fillId="4" borderId="115" xfId="14" applyFont="1" applyFill="1" applyBorder="1"/>
    <xf numFmtId="0" fontId="19" fillId="4" borderId="107" xfId="14" applyFont="1" applyFill="1" applyBorder="1"/>
    <xf numFmtId="0" fontId="19" fillId="4" borderId="35" xfId="14" applyFont="1" applyFill="1" applyBorder="1"/>
    <xf numFmtId="0" fontId="19" fillId="4" borderId="22" xfId="14" applyFont="1" applyFill="1" applyBorder="1" applyAlignment="1">
      <alignment horizontal="center" vertical="center"/>
    </xf>
    <xf numFmtId="0" fontId="19" fillId="4" borderId="35" xfId="14" applyFont="1" applyFill="1" applyBorder="1" applyAlignment="1">
      <alignment horizontal="left" vertical="center"/>
    </xf>
    <xf numFmtId="0" fontId="19" fillId="4" borderId="22" xfId="14" applyFont="1" applyFill="1" applyBorder="1" applyAlignment="1">
      <alignment horizontal="left" vertical="center"/>
    </xf>
    <xf numFmtId="0" fontId="19" fillId="4" borderId="35" xfId="14" applyFont="1" applyFill="1" applyBorder="1" applyAlignment="1">
      <alignment horizontal="center" vertical="center"/>
    </xf>
    <xf numFmtId="0" fontId="19" fillId="4" borderId="92" xfId="14" applyFont="1" applyFill="1" applyBorder="1" applyAlignment="1" applyProtection="1">
      <alignment horizontal="left" vertical="center"/>
      <protection locked="0"/>
    </xf>
    <xf numFmtId="1" fontId="5" fillId="0" borderId="116" xfId="14" applyNumberFormat="1" applyFont="1" applyBorder="1" applyAlignment="1">
      <alignment horizontal="left"/>
    </xf>
    <xf numFmtId="1" fontId="5" fillId="0" borderId="117" xfId="14" applyNumberFormat="1" applyFont="1" applyBorder="1" applyAlignment="1">
      <alignment horizontal="left"/>
    </xf>
    <xf numFmtId="164" fontId="5" fillId="0" borderId="117" xfId="5" applyNumberFormat="1" applyFont="1" applyFill="1" applyBorder="1" applyAlignment="1" applyProtection="1">
      <alignment horizontal="center" vertical="center"/>
      <protection locked="0"/>
    </xf>
    <xf numFmtId="165" fontId="5" fillId="0" borderId="117" xfId="0" applyNumberFormat="1" applyFont="1" applyBorder="1"/>
    <xf numFmtId="167" fontId="5" fillId="0" borderId="117" xfId="14" applyNumberFormat="1" applyFont="1" applyBorder="1" applyAlignment="1">
      <alignment horizontal="right"/>
    </xf>
    <xf numFmtId="164" fontId="5" fillId="0" borderId="118" xfId="5" applyNumberFormat="1" applyFont="1" applyFill="1" applyBorder="1" applyAlignment="1" applyProtection="1">
      <alignment horizontal="left"/>
      <protection locked="0"/>
    </xf>
    <xf numFmtId="0" fontId="6" fillId="0" borderId="111" xfId="14" applyFont="1" applyBorder="1" applyAlignment="1" applyProtection="1">
      <alignment horizontal="left"/>
      <protection locked="0"/>
    </xf>
    <xf numFmtId="0" fontId="20" fillId="0" borderId="51" xfId="0" applyFont="1" applyBorder="1" applyAlignment="1">
      <alignment horizontal="left" vertical="center"/>
    </xf>
    <xf numFmtId="0" fontId="2" fillId="8" borderId="9" xfId="0" applyFont="1" applyFill="1" applyBorder="1" applyAlignment="1">
      <alignment horizontal="center" wrapText="1"/>
    </xf>
    <xf numFmtId="173" fontId="2" fillId="8" borderId="9" xfId="5" applyNumberFormat="1" applyFont="1" applyFill="1" applyBorder="1" applyAlignment="1" applyProtection="1">
      <alignment horizontal="center"/>
    </xf>
    <xf numFmtId="173" fontId="2" fillId="8" borderId="71" xfId="5" applyNumberFormat="1" applyFont="1" applyFill="1" applyBorder="1" applyAlignment="1" applyProtection="1">
      <alignment horizontal="center"/>
    </xf>
    <xf numFmtId="10" fontId="2" fillId="8" borderId="9" xfId="5" applyNumberFormat="1" applyFont="1" applyFill="1" applyBorder="1" applyAlignment="1" applyProtection="1">
      <alignment horizontal="center"/>
    </xf>
    <xf numFmtId="0" fontId="2" fillId="0" borderId="50" xfId="0" applyFont="1" applyBorder="1" applyAlignment="1">
      <alignment horizontal="left" vertical="center"/>
    </xf>
    <xf numFmtId="9" fontId="2" fillId="0" borderId="44" xfId="1" applyFont="1" applyFill="1" applyBorder="1" applyAlignment="1">
      <alignment horizontal="center" vertical="center"/>
    </xf>
    <xf numFmtId="174" fontId="17" fillId="0" borderId="25" xfId="8" applyNumberFormat="1" applyFont="1" applyBorder="1"/>
    <xf numFmtId="173" fontId="2" fillId="0" borderId="30" xfId="12" applyNumberFormat="1" applyFont="1" applyFill="1" applyBorder="1" applyAlignment="1">
      <alignment vertical="top" wrapText="1"/>
    </xf>
    <xf numFmtId="173" fontId="2" fillId="0" borderId="9" xfId="5" applyNumberFormat="1" applyFont="1" applyFill="1" applyBorder="1" applyAlignment="1" applyProtection="1"/>
    <xf numFmtId="173" fontId="2" fillId="0" borderId="71" xfId="5" applyNumberFormat="1" applyFont="1" applyFill="1" applyBorder="1" applyAlignment="1" applyProtection="1"/>
    <xf numFmtId="44" fontId="2" fillId="0" borderId="70" xfId="5" applyNumberFormat="1" applyFont="1" applyFill="1" applyBorder="1" applyAlignment="1"/>
    <xf numFmtId="44" fontId="2" fillId="0" borderId="72" xfId="5" applyNumberFormat="1" applyFont="1" applyFill="1" applyBorder="1" applyAlignment="1"/>
    <xf numFmtId="44" fontId="3" fillId="0" borderId="5" xfId="12" applyNumberFormat="1" applyFont="1" applyFill="1" applyBorder="1" applyAlignment="1"/>
    <xf numFmtId="44" fontId="21" fillId="0" borderId="9" xfId="0" applyNumberFormat="1" applyFont="1" applyBorder="1" applyAlignment="1">
      <alignment horizontal="center" wrapText="1"/>
    </xf>
    <xf numFmtId="44" fontId="21" fillId="0" borderId="9" xfId="5" applyNumberFormat="1" applyFont="1" applyFill="1" applyBorder="1" applyAlignment="1">
      <alignment horizontal="center"/>
    </xf>
    <xf numFmtId="0" fontId="4" fillId="6" borderId="51" xfId="14" applyFont="1" applyFill="1" applyBorder="1" applyAlignment="1" applyProtection="1">
      <alignment horizontal="center"/>
      <protection locked="0"/>
    </xf>
    <xf numFmtId="44" fontId="5" fillId="0" borderId="36" xfId="0" applyNumberFormat="1" applyFont="1" applyBorder="1" applyAlignment="1">
      <alignment horizontal="center"/>
    </xf>
    <xf numFmtId="42" fontId="5" fillId="0" borderId="38" xfId="5" applyNumberFormat="1" applyFont="1" applyFill="1" applyBorder="1" applyAlignment="1" applyProtection="1">
      <alignment horizontal="center" vertical="center"/>
    </xf>
    <xf numFmtId="42" fontId="5" fillId="0" borderId="41" xfId="5" applyNumberFormat="1" applyFont="1" applyFill="1" applyBorder="1" applyAlignment="1" applyProtection="1">
      <alignment horizontal="center" vertical="center"/>
    </xf>
    <xf numFmtId="42" fontId="5" fillId="0" borderId="36" xfId="5" applyNumberFormat="1" applyFont="1" applyFill="1" applyBorder="1" applyAlignment="1" applyProtection="1">
      <alignment horizontal="center" vertical="center"/>
    </xf>
    <xf numFmtId="42" fontId="19" fillId="4" borderId="22" xfId="14" applyNumberFormat="1" applyFont="1" applyFill="1" applyBorder="1" applyAlignment="1">
      <alignment horizontal="center" vertical="center"/>
    </xf>
    <xf numFmtId="42" fontId="5" fillId="0" borderId="110" xfId="14" applyNumberFormat="1" applyFont="1" applyBorder="1"/>
    <xf numFmtId="42" fontId="5" fillId="0" borderId="43" xfId="5" applyNumberFormat="1" applyFont="1" applyFill="1" applyBorder="1" applyAlignment="1" applyProtection="1">
      <alignment horizontal="center" vertical="center"/>
      <protection locked="0"/>
    </xf>
    <xf numFmtId="42" fontId="5" fillId="0" borderId="36" xfId="0" applyNumberFormat="1" applyFont="1" applyBorder="1"/>
    <xf numFmtId="42" fontId="5" fillId="0" borderId="36" xfId="5" applyNumberFormat="1" applyFont="1" applyFill="1" applyBorder="1" applyAlignment="1" applyProtection="1">
      <alignment horizontal="center" vertical="center"/>
      <protection locked="0"/>
    </xf>
    <xf numFmtId="42" fontId="5" fillId="0" borderId="38" xfId="5" applyNumberFormat="1" applyFont="1" applyFill="1" applyBorder="1" applyAlignment="1" applyProtection="1">
      <alignment horizontal="center" vertical="center"/>
      <protection locked="0"/>
    </xf>
    <xf numFmtId="42" fontId="5" fillId="0" borderId="38" xfId="0" applyNumberFormat="1" applyFont="1" applyBorder="1"/>
    <xf numFmtId="42" fontId="19" fillId="4" borderId="35" xfId="14" applyNumberFormat="1" applyFont="1" applyFill="1" applyBorder="1" applyAlignment="1">
      <alignment horizontal="left" vertical="center"/>
    </xf>
    <xf numFmtId="42" fontId="5" fillId="0" borderId="117" xfId="5" applyNumberFormat="1" applyFont="1" applyFill="1" applyBorder="1" applyAlignment="1" applyProtection="1">
      <alignment horizontal="center" vertical="center"/>
      <protection locked="0"/>
    </xf>
    <xf numFmtId="42" fontId="5" fillId="0" borderId="117" xfId="0" applyNumberFormat="1" applyFont="1" applyBorder="1"/>
    <xf numFmtId="42" fontId="5" fillId="0" borderId="110" xfId="5" applyNumberFormat="1" applyFont="1" applyFill="1" applyBorder="1" applyAlignment="1" applyProtection="1">
      <alignment horizontal="center" vertical="center"/>
      <protection locked="0"/>
    </xf>
    <xf numFmtId="42" fontId="5" fillId="0" borderId="110" xfId="0" applyNumberFormat="1" applyFont="1" applyBorder="1"/>
    <xf numFmtId="42" fontId="2" fillId="0" borderId="0" xfId="14" applyNumberFormat="1"/>
    <xf numFmtId="42" fontId="5" fillId="0" borderId="23" xfId="14" applyNumberFormat="1" applyFont="1" applyBorder="1" applyAlignment="1">
      <alignment horizontal="center" vertical="center"/>
    </xf>
    <xf numFmtId="42" fontId="33" fillId="0" borderId="42" xfId="5" applyNumberFormat="1" applyFont="1" applyFill="1" applyBorder="1" applyAlignment="1" applyProtection="1">
      <alignment horizontal="center" vertical="center"/>
    </xf>
    <xf numFmtId="42" fontId="5" fillId="0" borderId="0" xfId="14" applyNumberFormat="1" applyFont="1"/>
    <xf numFmtId="42" fontId="33" fillId="0" borderId="38" xfId="14" applyNumberFormat="1" applyFont="1" applyBorder="1" applyAlignment="1">
      <alignment horizontal="center" vertical="center"/>
    </xf>
    <xf numFmtId="42" fontId="33" fillId="0" borderId="38" xfId="5" applyNumberFormat="1" applyFont="1" applyFill="1" applyBorder="1" applyAlignment="1" applyProtection="1">
      <alignment horizontal="center" vertical="center"/>
      <protection locked="0"/>
    </xf>
    <xf numFmtId="44" fontId="33" fillId="0" borderId="96" xfId="5" applyNumberFormat="1" applyFont="1" applyFill="1" applyBorder="1" applyAlignment="1" applyProtection="1">
      <alignment horizontal="center" vertical="center"/>
    </xf>
    <xf numFmtId="44" fontId="19" fillId="0" borderId="96" xfId="14" applyNumberFormat="1" applyFont="1" applyBorder="1" applyAlignment="1">
      <alignment horizontal="left" vertical="center"/>
    </xf>
    <xf numFmtId="44" fontId="5" fillId="0" borderId="36" xfId="0" applyNumberFormat="1" applyFont="1" applyBorder="1"/>
    <xf numFmtId="175" fontId="5" fillId="0" borderId="23" xfId="5" applyNumberFormat="1" applyFont="1" applyFill="1" applyBorder="1" applyAlignment="1" applyProtection="1">
      <alignment horizontal="center" vertical="center"/>
      <protection locked="0"/>
    </xf>
    <xf numFmtId="175" fontId="5" fillId="0" borderId="36" xfId="0" applyNumberFormat="1" applyFont="1" applyBorder="1" applyAlignment="1">
      <alignment horizontal="center"/>
    </xf>
    <xf numFmtId="175" fontId="33" fillId="0" borderId="22" xfId="5" applyNumberFormat="1" applyFont="1" applyFill="1" applyBorder="1" applyAlignment="1" applyProtection="1">
      <alignment horizontal="center" vertical="center"/>
      <protection locked="0"/>
    </xf>
    <xf numFmtId="177" fontId="2" fillId="0" borderId="49" xfId="5" applyNumberFormat="1" applyFont="1" applyFill="1" applyBorder="1" applyAlignment="1"/>
    <xf numFmtId="177" fontId="2" fillId="0" borderId="52" xfId="5" applyNumberFormat="1" applyFont="1" applyFill="1" applyBorder="1" applyAlignment="1"/>
    <xf numFmtId="177" fontId="24" fillId="4" borderId="5" xfId="12" applyNumberFormat="1" applyFont="1" applyFill="1" applyBorder="1" applyAlignment="1"/>
    <xf numFmtId="177" fontId="4" fillId="0" borderId="10" xfId="5" applyNumberFormat="1" applyFont="1" applyFill="1" applyBorder="1" applyAlignment="1"/>
    <xf numFmtId="177" fontId="6" fillId="4" borderId="10" xfId="0" applyNumberFormat="1" applyFont="1" applyFill="1" applyBorder="1"/>
    <xf numFmtId="177" fontId="2" fillId="0" borderId="55" xfId="5" applyNumberFormat="1" applyFont="1" applyFill="1" applyBorder="1" applyAlignment="1"/>
    <xf numFmtId="177" fontId="2" fillId="0" borderId="19" xfId="5" applyNumberFormat="1" applyFont="1" applyFill="1" applyBorder="1" applyAlignment="1"/>
    <xf numFmtId="177" fontId="24" fillId="4" borderId="19" xfId="12" applyNumberFormat="1" applyFont="1" applyFill="1" applyBorder="1" applyAlignment="1"/>
    <xf numFmtId="177" fontId="2" fillId="0" borderId="14" xfId="0" applyNumberFormat="1" applyFont="1" applyBorder="1"/>
    <xf numFmtId="177" fontId="2" fillId="0" borderId="14" xfId="5" applyNumberFormat="1" applyFont="1" applyFill="1" applyBorder="1" applyAlignment="1"/>
    <xf numFmtId="177" fontId="2" fillId="0" borderId="54" xfId="5" applyNumberFormat="1" applyFont="1" applyFill="1" applyBorder="1" applyAlignment="1"/>
    <xf numFmtId="177" fontId="2" fillId="0" borderId="44" xfId="5" applyNumberFormat="1" applyFont="1" applyFill="1" applyBorder="1" applyAlignment="1"/>
    <xf numFmtId="177" fontId="4" fillId="6" borderId="49" xfId="5" applyNumberFormat="1" applyFont="1" applyFill="1" applyBorder="1" applyAlignment="1" applyProtection="1">
      <protection locked="0"/>
    </xf>
    <xf numFmtId="177" fontId="2" fillId="0" borderId="52" xfId="5" applyNumberFormat="1" applyFont="1" applyFill="1" applyBorder="1" applyAlignment="1" applyProtection="1"/>
    <xf numFmtId="177" fontId="24" fillId="0" borderId="5" xfId="12" applyNumberFormat="1" applyFont="1" applyFill="1" applyBorder="1" applyAlignment="1"/>
    <xf numFmtId="176" fontId="3" fillId="4" borderId="55" xfId="12" applyNumberFormat="1" applyFont="1" applyFill="1" applyBorder="1"/>
    <xf numFmtId="176" fontId="3" fillId="4" borderId="58" xfId="12" applyNumberFormat="1" applyFont="1" applyFill="1" applyBorder="1"/>
    <xf numFmtId="44" fontId="3" fillId="4" borderId="58" xfId="12" applyNumberFormat="1" applyFont="1" applyFill="1" applyBorder="1" applyAlignment="1"/>
    <xf numFmtId="42" fontId="15" fillId="6" borderId="24" xfId="8" applyNumberFormat="1" applyFont="1" applyFill="1" applyBorder="1" applyProtection="1">
      <protection locked="0"/>
    </xf>
    <xf numFmtId="42" fontId="15" fillId="0" borderId="24" xfId="8" applyNumberFormat="1" applyFont="1" applyBorder="1"/>
    <xf numFmtId="42" fontId="15" fillId="0" borderId="18" xfId="8" applyNumberFormat="1" applyFont="1" applyBorder="1"/>
    <xf numFmtId="42" fontId="15" fillId="6" borderId="18" xfId="8" applyNumberFormat="1" applyFont="1" applyFill="1" applyBorder="1" applyProtection="1">
      <protection locked="0"/>
    </xf>
    <xf numFmtId="42" fontId="15" fillId="0" borderId="17" xfId="8" applyNumberFormat="1" applyFont="1" applyBorder="1"/>
    <xf numFmtId="42" fontId="17" fillId="0" borderId="9" xfId="8" applyNumberFormat="1" applyFont="1" applyBorder="1"/>
    <xf numFmtId="42" fontId="15" fillId="3" borderId="18" xfId="8" applyNumberFormat="1" applyFont="1" applyFill="1" applyBorder="1" applyProtection="1">
      <protection locked="0"/>
    </xf>
    <xf numFmtId="42" fontId="15" fillId="0" borderId="23" xfId="8" applyNumberFormat="1" applyFont="1" applyBorder="1"/>
    <xf numFmtId="42" fontId="15" fillId="6" borderId="17" xfId="8" applyNumberFormat="1" applyFont="1" applyFill="1" applyBorder="1" applyProtection="1">
      <protection locked="0"/>
    </xf>
    <xf numFmtId="42" fontId="15" fillId="0" borderId="25" xfId="8" applyNumberFormat="1" applyFont="1" applyBorder="1"/>
    <xf numFmtId="42" fontId="15" fillId="0" borderId="9" xfId="8" applyNumberFormat="1" applyFont="1" applyBorder="1"/>
    <xf numFmtId="42" fontId="18" fillId="0" borderId="9" xfId="8" applyNumberFormat="1" applyFont="1" applyBorder="1"/>
    <xf numFmtId="42" fontId="15" fillId="3" borderId="24" xfId="8" applyNumberFormat="1" applyFont="1" applyFill="1" applyBorder="1" applyProtection="1">
      <protection locked="0"/>
    </xf>
    <xf numFmtId="42" fontId="15" fillId="0" borderId="26" xfId="8" applyNumberFormat="1" applyFont="1" applyBorder="1"/>
    <xf numFmtId="42" fontId="15" fillId="0" borderId="22" xfId="8" applyNumberFormat="1" applyFont="1" applyBorder="1"/>
    <xf numFmtId="42" fontId="15" fillId="6" borderId="23" xfId="8" applyNumberFormat="1" applyFont="1" applyFill="1" applyBorder="1" applyProtection="1">
      <protection locked="0"/>
    </xf>
    <xf numFmtId="42" fontId="17" fillId="0" borderId="0" xfId="8" applyNumberFormat="1" applyFont="1"/>
    <xf numFmtId="42" fontId="18" fillId="0" borderId="0" xfId="8" applyNumberFormat="1" applyFont="1" applyAlignment="1">
      <alignment horizontal="right"/>
    </xf>
    <xf numFmtId="42" fontId="18" fillId="0" borderId="0" xfId="8" applyNumberFormat="1" applyFont="1"/>
    <xf numFmtId="42" fontId="18" fillId="0" borderId="3" xfId="8" applyNumberFormat="1" applyFont="1" applyBorder="1"/>
    <xf numFmtId="177" fontId="4" fillId="6" borderId="52" xfId="5" applyNumberFormat="1" applyFont="1" applyFill="1" applyBorder="1" applyAlignment="1" applyProtection="1">
      <protection locked="0"/>
    </xf>
    <xf numFmtId="177" fontId="24" fillId="4" borderId="5" xfId="5" applyNumberFormat="1" applyFont="1" applyFill="1" applyBorder="1" applyAlignment="1"/>
    <xf numFmtId="177" fontId="2" fillId="0" borderId="14" xfId="14" applyNumberFormat="1" applyBorder="1"/>
    <xf numFmtId="177" fontId="6" fillId="4" borderId="5" xfId="14" applyNumberFormat="1" applyFont="1" applyFill="1" applyBorder="1"/>
    <xf numFmtId="177" fontId="2" fillId="0" borderId="55" xfId="5" applyNumberFormat="1" applyFont="1" applyFill="1" applyBorder="1" applyAlignment="1" applyProtection="1"/>
    <xf numFmtId="177" fontId="2" fillId="0" borderId="49" xfId="5" applyNumberFormat="1" applyFont="1" applyFill="1" applyBorder="1" applyAlignment="1" applyProtection="1"/>
    <xf numFmtId="177" fontId="24" fillId="4" borderId="5" xfId="5" applyNumberFormat="1" applyFont="1" applyFill="1" applyBorder="1" applyAlignment="1" applyProtection="1"/>
    <xf numFmtId="177" fontId="4" fillId="0" borderId="14" xfId="14" applyNumberFormat="1" applyFont="1" applyBorder="1"/>
    <xf numFmtId="177" fontId="4" fillId="6" borderId="44" xfId="5" applyNumberFormat="1" applyFont="1" applyFill="1" applyBorder="1" applyProtection="1">
      <protection locked="0"/>
    </xf>
    <xf numFmtId="177" fontId="2" fillId="0" borderId="49" xfId="5" applyNumberFormat="1" applyFont="1" applyFill="1" applyBorder="1" applyAlignment="1">
      <alignment horizontal="right"/>
    </xf>
    <xf numFmtId="177" fontId="2" fillId="0" borderId="58" xfId="5" applyNumberFormat="1" applyFont="1" applyFill="1" applyBorder="1" applyAlignment="1">
      <alignment horizontal="right"/>
    </xf>
    <xf numFmtId="177" fontId="2" fillId="0" borderId="0" xfId="14" applyNumberFormat="1"/>
    <xf numFmtId="173" fontId="24" fillId="4" borderId="5" xfId="5" applyNumberFormat="1" applyFont="1" applyFill="1" applyBorder="1" applyAlignment="1"/>
    <xf numFmtId="173" fontId="24" fillId="4" borderId="5" xfId="5" applyNumberFormat="1" applyFont="1" applyFill="1" applyBorder="1" applyAlignment="1">
      <alignment horizontal="center"/>
    </xf>
    <xf numFmtId="44" fontId="4" fillId="6" borderId="44" xfId="5" applyNumberFormat="1" applyFont="1" applyFill="1" applyBorder="1" applyAlignment="1" applyProtection="1">
      <alignment horizontal="center"/>
      <protection locked="0"/>
    </xf>
    <xf numFmtId="44" fontId="4" fillId="6" borderId="57" xfId="5" applyNumberFormat="1" applyFont="1" applyFill="1" applyBorder="1" applyAlignment="1" applyProtection="1">
      <alignment horizontal="center"/>
      <protection locked="0"/>
    </xf>
    <xf numFmtId="0" fontId="34" fillId="0" borderId="0" xfId="14" applyFont="1" applyAlignment="1" applyProtection="1">
      <alignment horizontal="center" vertical="center" wrapText="1"/>
      <protection locked="0"/>
    </xf>
    <xf numFmtId="43" fontId="5" fillId="0" borderId="110" xfId="14" applyNumberFormat="1" applyFont="1" applyBorder="1" applyAlignment="1">
      <alignment horizontal="center" vertical="center"/>
    </xf>
    <xf numFmtId="43" fontId="6" fillId="0" borderId="110" xfId="14" applyNumberFormat="1" applyFont="1" applyBorder="1" applyAlignment="1">
      <alignment horizontal="center" vertical="center"/>
    </xf>
    <xf numFmtId="3" fontId="5" fillId="11" borderId="3" xfId="14" applyNumberFormat="1" applyFont="1" applyFill="1" applyBorder="1" applyAlignment="1" applyProtection="1">
      <alignment horizontal="center" vertical="center" wrapText="1"/>
      <protection locked="0"/>
    </xf>
    <xf numFmtId="0" fontId="2" fillId="0" borderId="11" xfId="0" applyFont="1" applyBorder="1" applyAlignment="1">
      <alignment horizontal="center" wrapText="1"/>
    </xf>
    <xf numFmtId="177" fontId="2" fillId="0" borderId="0" xfId="0" applyNumberFormat="1" applyFont="1"/>
    <xf numFmtId="167" fontId="4" fillId="6" borderId="44" xfId="1" applyNumberFormat="1" applyFont="1" applyFill="1" applyBorder="1" applyAlignment="1" applyProtection="1">
      <alignment horizontal="center"/>
      <protection locked="0"/>
    </xf>
    <xf numFmtId="177" fontId="4" fillId="6" borderId="44" xfId="5" applyNumberFormat="1" applyFont="1" applyFill="1" applyBorder="1" applyAlignment="1" applyProtection="1">
      <protection locked="0"/>
    </xf>
    <xf numFmtId="165" fontId="2" fillId="0" borderId="44" xfId="5" applyFont="1" applyFill="1" applyBorder="1" applyAlignment="1">
      <alignment horizontal="center"/>
    </xf>
    <xf numFmtId="0" fontId="5" fillId="0" borderId="110" xfId="14" applyFont="1" applyBorder="1" applyAlignment="1">
      <alignment horizontal="right"/>
    </xf>
    <xf numFmtId="3" fontId="5" fillId="9" borderId="3" xfId="14" applyNumberFormat="1" applyFont="1" applyFill="1" applyBorder="1" applyAlignment="1" applyProtection="1">
      <alignment horizontal="center" vertical="center" wrapText="1"/>
      <protection locked="0"/>
    </xf>
    <xf numFmtId="42" fontId="5" fillId="9" borderId="110" xfId="5" applyNumberFormat="1" applyFont="1" applyFill="1" applyBorder="1" applyAlignment="1" applyProtection="1">
      <alignment horizontal="center" vertical="center"/>
      <protection locked="0"/>
    </xf>
    <xf numFmtId="0" fontId="34" fillId="0" borderId="0" xfId="14" applyFont="1" applyAlignment="1" applyProtection="1">
      <alignment horizontal="center" vertical="center"/>
      <protection locked="0"/>
    </xf>
    <xf numFmtId="167" fontId="5" fillId="4" borderId="9" xfId="14" applyNumberFormat="1" applyFont="1" applyFill="1" applyBorder="1" applyAlignment="1">
      <alignment horizontal="right"/>
    </xf>
    <xf numFmtId="167" fontId="5" fillId="4" borderId="40" xfId="14" applyNumberFormat="1" applyFont="1" applyFill="1" applyBorder="1" applyAlignment="1">
      <alignment horizontal="right"/>
    </xf>
    <xf numFmtId="44" fontId="5" fillId="9" borderId="110" xfId="5" applyNumberFormat="1" applyFont="1" applyFill="1" applyBorder="1" applyAlignment="1" applyProtection="1">
      <alignment horizontal="center" vertical="center"/>
      <protection locked="0"/>
    </xf>
    <xf numFmtId="176" fontId="5" fillId="9" borderId="110" xfId="5" applyNumberFormat="1" applyFont="1" applyFill="1" applyBorder="1" applyAlignment="1" applyProtection="1">
      <alignment horizontal="center" vertical="center"/>
      <protection locked="0"/>
    </xf>
    <xf numFmtId="169" fontId="5" fillId="9" borderId="110" xfId="5" applyNumberFormat="1" applyFont="1" applyFill="1" applyBorder="1" applyAlignment="1" applyProtection="1">
      <alignment horizontal="center" vertical="center"/>
      <protection locked="0"/>
    </xf>
    <xf numFmtId="10" fontId="5" fillId="9" borderId="110" xfId="5" applyNumberFormat="1" applyFont="1" applyFill="1" applyBorder="1" applyAlignment="1" applyProtection="1">
      <alignment horizontal="center" vertical="center"/>
      <protection locked="0"/>
    </xf>
    <xf numFmtId="170" fontId="5" fillId="9" borderId="110" xfId="5" applyNumberFormat="1" applyFont="1" applyFill="1" applyBorder="1" applyAlignment="1" applyProtection="1">
      <alignment horizontal="center" vertical="center"/>
      <protection locked="0"/>
    </xf>
    <xf numFmtId="167" fontId="5" fillId="9" borderId="110" xfId="5" applyNumberFormat="1" applyFont="1" applyFill="1" applyBorder="1" applyAlignment="1" applyProtection="1">
      <alignment horizontal="center" vertical="center"/>
      <protection locked="0"/>
    </xf>
    <xf numFmtId="42" fontId="19" fillId="0" borderId="97" xfId="14" applyNumberFormat="1" applyFont="1" applyBorder="1"/>
    <xf numFmtId="0" fontId="19" fillId="8" borderId="9" xfId="14" applyFont="1" applyFill="1" applyBorder="1" applyAlignment="1" applyProtection="1">
      <alignment horizontal="center" vertical="center"/>
      <protection locked="0"/>
    </xf>
    <xf numFmtId="0" fontId="2" fillId="11" borderId="43" xfId="14" applyFill="1" applyBorder="1" applyAlignment="1" applyProtection="1">
      <alignment horizontal="center"/>
      <protection locked="0"/>
    </xf>
    <xf numFmtId="0" fontId="2" fillId="11" borderId="41" xfId="14" applyFill="1" applyBorder="1" applyProtection="1">
      <protection locked="0"/>
    </xf>
    <xf numFmtId="178" fontId="5" fillId="10" borderId="38" xfId="14" applyNumberFormat="1" applyFont="1" applyFill="1" applyBorder="1" applyAlignment="1" applyProtection="1">
      <alignment horizontal="center" vertical="center"/>
      <protection locked="0"/>
    </xf>
    <xf numFmtId="3" fontId="5" fillId="10" borderId="38" xfId="14" applyNumberFormat="1" applyFont="1" applyFill="1" applyBorder="1" applyAlignment="1" applyProtection="1">
      <alignment horizontal="center" vertical="center"/>
      <protection locked="0"/>
    </xf>
    <xf numFmtId="10" fontId="5" fillId="10" borderId="41" xfId="5" applyNumberFormat="1" applyFont="1" applyFill="1" applyBorder="1" applyAlignment="1" applyProtection="1">
      <alignment horizontal="center" vertical="center"/>
      <protection locked="0"/>
    </xf>
    <xf numFmtId="3" fontId="5" fillId="10" borderId="23" xfId="14" applyNumberFormat="1" applyFont="1" applyFill="1" applyBorder="1" applyAlignment="1" applyProtection="1">
      <alignment horizontal="center" vertical="center"/>
      <protection locked="0"/>
    </xf>
    <xf numFmtId="167" fontId="5" fillId="10" borderId="43" xfId="14" applyNumberFormat="1" applyFont="1" applyFill="1" applyBorder="1" applyAlignment="1" applyProtection="1">
      <alignment horizontal="center" vertical="center"/>
      <protection locked="0"/>
    </xf>
    <xf numFmtId="10" fontId="5" fillId="10" borderId="38" xfId="14" applyNumberFormat="1" applyFont="1" applyFill="1" applyBorder="1" applyAlignment="1" applyProtection="1">
      <alignment horizontal="center" vertical="center"/>
      <protection locked="0"/>
    </xf>
    <xf numFmtId="2" fontId="19" fillId="4" borderId="9" xfId="14" applyNumberFormat="1" applyFont="1" applyFill="1" applyBorder="1" applyAlignment="1" applyProtection="1">
      <alignment horizontal="center" vertical="center"/>
      <protection locked="0"/>
    </xf>
    <xf numFmtId="2" fontId="5" fillId="10" borderId="38" xfId="14" applyNumberFormat="1" applyFont="1" applyFill="1" applyBorder="1" applyAlignment="1" applyProtection="1">
      <alignment horizontal="center" vertical="center"/>
      <protection locked="0"/>
    </xf>
    <xf numFmtId="42" fontId="5" fillId="10" borderId="38" xfId="5" applyNumberFormat="1" applyFont="1" applyFill="1" applyBorder="1" applyAlignment="1" applyProtection="1">
      <alignment horizontal="center" vertical="center"/>
      <protection locked="0"/>
    </xf>
    <xf numFmtId="42" fontId="5" fillId="10" borderId="38" xfId="14" applyNumberFormat="1" applyFont="1" applyFill="1" applyBorder="1" applyAlignment="1" applyProtection="1">
      <alignment horizontal="center" vertical="center"/>
      <protection locked="0"/>
    </xf>
    <xf numFmtId="42" fontId="5" fillId="10" borderId="23" xfId="14" applyNumberFormat="1" applyFont="1" applyFill="1" applyBorder="1" applyAlignment="1" applyProtection="1">
      <alignment horizontal="center"/>
      <protection locked="0"/>
    </xf>
    <xf numFmtId="42" fontId="5" fillId="10" borderId="43" xfId="5" applyNumberFormat="1" applyFont="1" applyFill="1" applyBorder="1" applyAlignment="1" applyProtection="1">
      <alignment horizontal="center" vertical="center"/>
      <protection locked="0"/>
    </xf>
    <xf numFmtId="42" fontId="5" fillId="10" borderId="36" xfId="5" applyNumberFormat="1" applyFont="1" applyFill="1" applyBorder="1" applyAlignment="1" applyProtection="1">
      <alignment horizontal="center" vertical="center"/>
      <protection locked="0"/>
    </xf>
    <xf numFmtId="42" fontId="5" fillId="10" borderId="41" xfId="5" applyNumberFormat="1" applyFont="1" applyFill="1" applyBorder="1" applyAlignment="1" applyProtection="1">
      <alignment horizontal="center" vertical="center"/>
      <protection locked="0"/>
    </xf>
    <xf numFmtId="42" fontId="5" fillId="10" borderId="117" xfId="5" applyNumberFormat="1" applyFont="1" applyFill="1" applyBorder="1" applyAlignment="1" applyProtection="1">
      <alignment horizontal="center" vertical="center"/>
      <protection locked="0"/>
    </xf>
    <xf numFmtId="42" fontId="5" fillId="10" borderId="110" xfId="5" applyNumberFormat="1" applyFont="1" applyFill="1" applyBorder="1" applyAlignment="1" applyProtection="1">
      <alignment horizontal="center" vertical="center"/>
      <protection locked="0"/>
    </xf>
    <xf numFmtId="42" fontId="5" fillId="0" borderId="41" xfId="5" applyNumberFormat="1" applyFont="1" applyFill="1" applyBorder="1" applyAlignment="1" applyProtection="1">
      <alignment horizontal="center" vertical="center"/>
      <protection locked="0"/>
    </xf>
    <xf numFmtId="42" fontId="19" fillId="4" borderId="22" xfId="14" applyNumberFormat="1" applyFont="1" applyFill="1" applyBorder="1" applyAlignment="1" applyProtection="1">
      <alignment horizontal="center" vertical="center"/>
      <protection locked="0"/>
    </xf>
    <xf numFmtId="2" fontId="5" fillId="11" borderId="38" xfId="14" applyNumberFormat="1" applyFont="1" applyFill="1" applyBorder="1" applyAlignment="1" applyProtection="1">
      <alignment horizontal="center" vertical="center"/>
      <protection locked="0"/>
    </xf>
    <xf numFmtId="2" fontId="5" fillId="11" borderId="41" xfId="14" applyNumberFormat="1" applyFont="1" applyFill="1" applyBorder="1" applyAlignment="1" applyProtection="1">
      <alignment horizontal="center" vertical="center"/>
      <protection locked="0"/>
    </xf>
    <xf numFmtId="167" fontId="5" fillId="11" borderId="38" xfId="14" applyNumberFormat="1" applyFont="1" applyFill="1" applyBorder="1" applyAlignment="1" applyProtection="1">
      <alignment horizontal="center" vertical="center"/>
      <protection locked="0"/>
    </xf>
    <xf numFmtId="3" fontId="5" fillId="11" borderId="23" xfId="14" applyNumberFormat="1" applyFont="1" applyFill="1" applyBorder="1" applyAlignment="1" applyProtection="1">
      <alignment horizontal="center" vertical="center"/>
      <protection locked="0"/>
    </xf>
    <xf numFmtId="167" fontId="5" fillId="11" borderId="43" xfId="1" applyNumberFormat="1" applyFont="1" applyFill="1" applyBorder="1" applyAlignment="1" applyProtection="1">
      <alignment horizontal="center"/>
      <protection locked="0"/>
    </xf>
    <xf numFmtId="10" fontId="5" fillId="11" borderId="41" xfId="5" applyNumberFormat="1" applyFont="1" applyFill="1" applyBorder="1" applyAlignment="1" applyProtection="1">
      <alignment horizontal="center" vertical="center"/>
      <protection locked="0"/>
    </xf>
    <xf numFmtId="42" fontId="5" fillId="11" borderId="43" xfId="5" applyNumberFormat="1" applyFont="1" applyFill="1" applyBorder="1" applyAlignment="1" applyProtection="1">
      <alignment horizontal="center" vertical="center"/>
      <protection locked="0"/>
    </xf>
    <xf numFmtId="42" fontId="5" fillId="11" borderId="36" xfId="5" applyNumberFormat="1" applyFont="1" applyFill="1" applyBorder="1" applyAlignment="1" applyProtection="1">
      <alignment horizontal="center" vertical="center"/>
      <protection locked="0"/>
    </xf>
    <xf numFmtId="42" fontId="5" fillId="11" borderId="38" xfId="5" applyNumberFormat="1" applyFont="1" applyFill="1" applyBorder="1" applyAlignment="1" applyProtection="1">
      <alignment horizontal="center" vertical="center"/>
      <protection locked="0"/>
    </xf>
    <xf numFmtId="42" fontId="5" fillId="11" borderId="117" xfId="5" applyNumberFormat="1" applyFont="1" applyFill="1" applyBorder="1" applyAlignment="1" applyProtection="1">
      <alignment horizontal="center" vertical="center"/>
      <protection locked="0"/>
    </xf>
    <xf numFmtId="42" fontId="5" fillId="11" borderId="110" xfId="5" applyNumberFormat="1" applyFont="1" applyFill="1" applyBorder="1" applyAlignment="1" applyProtection="1">
      <alignment horizontal="center" vertical="center"/>
      <protection locked="0"/>
    </xf>
    <xf numFmtId="42" fontId="5" fillId="11" borderId="41" xfId="5" applyNumberFormat="1" applyFont="1" applyFill="1" applyBorder="1" applyAlignment="1" applyProtection="1">
      <alignment horizontal="center" vertical="center"/>
      <protection locked="0"/>
    </xf>
    <xf numFmtId="42" fontId="5" fillId="7" borderId="38" xfId="5" applyNumberFormat="1" applyFont="1" applyFill="1" applyBorder="1" applyAlignment="1" applyProtection="1">
      <alignment horizontal="center" vertical="center"/>
      <protection locked="0"/>
    </xf>
    <xf numFmtId="3" fontId="5" fillId="11" borderId="38" xfId="14" applyNumberFormat="1" applyFont="1" applyFill="1" applyBorder="1" applyAlignment="1" applyProtection="1">
      <alignment horizontal="center" vertical="center"/>
      <protection locked="0"/>
    </xf>
    <xf numFmtId="173" fontId="5" fillId="11" borderId="36" xfId="0" applyNumberFormat="1" applyFont="1" applyFill="1" applyBorder="1" applyAlignment="1" applyProtection="1">
      <alignment horizontal="center"/>
      <protection locked="0"/>
    </xf>
    <xf numFmtId="175" fontId="5" fillId="11" borderId="36" xfId="0" applyNumberFormat="1" applyFont="1" applyFill="1" applyBorder="1" applyAlignment="1" applyProtection="1">
      <alignment horizontal="center"/>
      <protection locked="0"/>
    </xf>
    <xf numFmtId="173" fontId="5" fillId="11" borderId="36" xfId="0" applyNumberFormat="1" applyFont="1" applyFill="1" applyBorder="1" applyProtection="1">
      <protection locked="0"/>
    </xf>
    <xf numFmtId="44" fontId="19" fillId="11" borderId="97" xfId="14" applyNumberFormat="1" applyFont="1" applyFill="1" applyBorder="1" applyProtection="1">
      <protection locked="0"/>
    </xf>
    <xf numFmtId="44" fontId="5" fillId="11" borderId="36" xfId="5" applyNumberFormat="1" applyFont="1" applyFill="1" applyBorder="1" applyAlignment="1" applyProtection="1">
      <alignment horizontal="center"/>
      <protection locked="0"/>
    </xf>
    <xf numFmtId="2" fontId="5" fillId="11" borderId="38" xfId="0" applyNumberFormat="1" applyFont="1" applyFill="1" applyBorder="1" applyAlignment="1" applyProtection="1">
      <alignment horizontal="center"/>
      <protection locked="0"/>
    </xf>
    <xf numFmtId="42" fontId="5" fillId="11" borderId="38" xfId="5" applyNumberFormat="1" applyFont="1" applyFill="1" applyBorder="1" applyAlignment="1" applyProtection="1">
      <alignment horizontal="center"/>
      <protection locked="0"/>
    </xf>
    <xf numFmtId="42" fontId="5" fillId="11" borderId="23" xfId="14" applyNumberFormat="1" applyFont="1" applyFill="1" applyBorder="1" applyAlignment="1" applyProtection="1">
      <alignment horizontal="center"/>
      <protection locked="0"/>
    </xf>
    <xf numFmtId="0" fontId="3" fillId="4" borderId="8" xfId="0" applyFont="1" applyFill="1" applyBorder="1" applyAlignment="1">
      <alignment horizontal="left" vertical="center" wrapText="1"/>
    </xf>
    <xf numFmtId="0" fontId="3" fillId="4" borderId="4" xfId="0" applyFont="1" applyFill="1" applyBorder="1" applyAlignment="1">
      <alignment horizontal="left" vertical="center" wrapText="1"/>
    </xf>
    <xf numFmtId="0" fontId="6" fillId="4" borderId="4" xfId="0" applyFont="1" applyFill="1" applyBorder="1" applyAlignment="1">
      <alignment horizontal="left" vertical="center"/>
    </xf>
    <xf numFmtId="42" fontId="15" fillId="0" borderId="25" xfId="8" applyNumberFormat="1" applyFont="1" applyBorder="1"/>
    <xf numFmtId="0" fontId="3" fillId="4" borderId="8" xfId="14" applyFont="1" applyFill="1" applyBorder="1" applyAlignment="1">
      <alignment horizontal="left" vertical="center" wrapText="1"/>
    </xf>
    <xf numFmtId="0" fontId="3" fillId="4" borderId="4" xfId="14" applyFont="1" applyFill="1" applyBorder="1" applyAlignment="1">
      <alignment horizontal="left" vertical="center" wrapText="1"/>
    </xf>
    <xf numFmtId="0" fontId="6" fillId="4" borderId="4" xfId="14" applyFont="1" applyFill="1" applyBorder="1" applyAlignment="1">
      <alignment horizontal="left" vertical="center"/>
    </xf>
  </cellXfs>
  <cellStyles count="20">
    <cellStyle name="Gut" xfId="13" builtinId="26"/>
    <cellStyle name="Gut 2" xfId="7" xr:uid="{00000000-0005-0000-0000-000001000000}"/>
    <cellStyle name="Komma" xfId="11" builtinId="3"/>
    <cellStyle name="Komma 2" xfId="4" xr:uid="{00000000-0005-0000-0000-000003000000}"/>
    <cellStyle name="Komma 2 2" xfId="16" xr:uid="{89D7E508-134A-485C-8EAD-E9F46F1D63F3}"/>
    <cellStyle name="Komma 3" xfId="6" xr:uid="{00000000-0005-0000-0000-000004000000}"/>
    <cellStyle name="Komma 3 2" xfId="17" xr:uid="{5F39DA28-CBD2-4D6F-8675-5E5735288E51}"/>
    <cellStyle name="Komma 4" xfId="10" xr:uid="{00000000-0005-0000-0000-000005000000}"/>
    <cellStyle name="Komma 4 2" xfId="18" xr:uid="{0032507F-FD3B-4D65-80E1-63977E474E71}"/>
    <cellStyle name="Komma 5" xfId="19" xr:uid="{4B9BBAA3-7DE8-4A71-B201-AC34F7C6E987}"/>
    <cellStyle name="Prozent" xfId="1" builtinId="5"/>
    <cellStyle name="Prozent 2" xfId="2" xr:uid="{00000000-0005-0000-0000-000007000000}"/>
    <cellStyle name="Prozent 2 2" xfId="15" xr:uid="{B29714F4-BDC2-42F9-BB11-EBE69FDC508D}"/>
    <cellStyle name="Prozent 3" xfId="9" xr:uid="{00000000-0005-0000-0000-000008000000}"/>
    <cellStyle name="Standard" xfId="0" builtinId="0"/>
    <cellStyle name="Standard 2" xfId="8" xr:uid="{00000000-0005-0000-0000-00000A000000}"/>
    <cellStyle name="Standard 3" xfId="3" xr:uid="{00000000-0005-0000-0000-00000B000000}"/>
    <cellStyle name="Standard 4" xfId="14" xr:uid="{00000000-0005-0000-0000-00000C000000}"/>
    <cellStyle name="Währung" xfId="12" builtinId="4"/>
    <cellStyle name="Währung 2" xfId="5" xr:uid="{00000000-0005-0000-0000-00000E000000}"/>
  </cellStyles>
  <dxfs count="52">
    <dxf>
      <font>
        <color theme="6" tint="0.79998168889431442"/>
      </font>
    </dxf>
    <dxf>
      <font>
        <color theme="0"/>
      </font>
    </dxf>
    <dxf>
      <font>
        <color theme="0"/>
      </font>
    </dxf>
    <dxf>
      <font>
        <color theme="6" tint="0.79998168889431442"/>
      </font>
    </dxf>
    <dxf>
      <font>
        <color theme="6" tint="0.59996337778862885"/>
      </font>
    </dxf>
    <dxf>
      <font>
        <color theme="6" tint="0.79998168889431442"/>
      </font>
    </dxf>
    <dxf>
      <font>
        <color theme="0"/>
      </font>
    </dxf>
    <dxf>
      <font>
        <color theme="6" tint="0.79998168889431442"/>
      </font>
    </dxf>
    <dxf>
      <font>
        <color theme="6" tint="0.79998168889431442"/>
      </font>
    </dxf>
    <dxf>
      <font>
        <color theme="6" tint="0.79998168889431442"/>
      </font>
    </dxf>
    <dxf>
      <font>
        <color theme="6" tint="0.59996337778862885"/>
      </font>
    </dxf>
    <dxf>
      <font>
        <color theme="6" tint="0.79998168889431442"/>
      </font>
    </dxf>
    <dxf>
      <font>
        <color theme="6" tint="0.79998168889431442"/>
      </font>
    </dxf>
    <dxf>
      <font>
        <color theme="6" tint="0.79998168889431442"/>
      </font>
    </dxf>
    <dxf>
      <font>
        <color theme="0"/>
      </font>
    </dxf>
    <dxf>
      <font>
        <color theme="6" tint="0.79998168889431442"/>
      </font>
    </dxf>
    <dxf>
      <font>
        <color theme="6" tint="0.59996337778862885"/>
      </font>
    </dxf>
    <dxf>
      <font>
        <color theme="0"/>
      </font>
    </dxf>
    <dxf>
      <font>
        <color theme="0"/>
      </font>
    </dxf>
    <dxf>
      <font>
        <color theme="6" tint="0.79998168889431442"/>
      </font>
    </dxf>
    <dxf>
      <font>
        <color theme="6" tint="0.79998168889431442"/>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79998168889431442"/>
      </font>
    </dxf>
    <dxf>
      <font>
        <color theme="6" tint="0.79998168889431442"/>
      </font>
    </dxf>
    <dxf>
      <font>
        <color theme="6" tint="0.59996337778862885"/>
      </font>
    </dxf>
    <dxf>
      <font>
        <color theme="6" tint="0.79998168889431442"/>
      </font>
    </dxf>
    <dxf>
      <font>
        <color theme="6" tint="0.79998168889431442"/>
      </font>
    </dxf>
    <dxf>
      <font>
        <color theme="6" tint="0.79998168889431442"/>
      </font>
    </dxf>
    <dxf>
      <font>
        <color theme="6" tint="0.79998168889431442"/>
      </font>
    </dxf>
    <dxf>
      <font>
        <color theme="6" tint="0.59996337778862885"/>
      </font>
    </dxf>
    <dxf>
      <font>
        <color rgb="FFFFC000"/>
      </font>
    </dxf>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6" tint="0.39994506668294322"/>
      </font>
    </dxf>
    <dxf>
      <font>
        <color theme="6" tint="0.39994506668294322"/>
      </font>
    </dxf>
    <dxf>
      <font>
        <color theme="6" tint="0.39994506668294322"/>
      </font>
    </dxf>
    <dxf>
      <font>
        <color theme="6" tint="0.39994506668294322"/>
      </font>
    </dxf>
    <dxf>
      <font>
        <color theme="0"/>
      </font>
    </dxf>
    <dxf>
      <font>
        <color theme="0" tint="-0.14996795556505021"/>
      </font>
    </dxf>
    <dxf>
      <font>
        <color theme="6" tint="0.39994506668294322"/>
      </font>
    </dxf>
  </dxfs>
  <tableStyles count="0" defaultTableStyle="TableStyleMedium9" defaultPivotStyle="PivotStyleLight16"/>
  <colors>
    <mruColors>
      <color rgb="FFFF99CC"/>
      <color rgb="FF33CCFF"/>
      <color rgb="FF66FF66"/>
      <color rgb="FF96E2A4"/>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96E2A4"/>
  </sheetPr>
  <dimension ref="A1:K91"/>
  <sheetViews>
    <sheetView topLeftCell="A79" zoomScaleNormal="100" workbookViewId="0">
      <selection activeCell="F83" sqref="F83"/>
    </sheetView>
  </sheetViews>
  <sheetFormatPr baseColWidth="10" defaultColWidth="11" defaultRowHeight="18.75" customHeight="1"/>
  <cols>
    <col min="1" max="1" width="9.59765625" style="1" customWidth="1"/>
    <col min="2" max="2" width="8.5" style="1" customWidth="1"/>
    <col min="3" max="3" width="9" style="1" customWidth="1"/>
    <col min="4" max="4" width="10.5" style="1" customWidth="1"/>
    <col min="5" max="5" width="10.8984375" style="1" customWidth="1"/>
    <col min="6" max="6" width="10.5" style="1" customWidth="1"/>
    <col min="7" max="7" width="15" style="1" customWidth="1"/>
    <col min="8" max="8" width="6.09765625" style="1" customWidth="1"/>
    <col min="9" max="9" width="17.09765625" style="1" customWidth="1"/>
    <col min="10" max="10" width="18" style="1" customWidth="1"/>
    <col min="11" max="11" width="13.69921875" style="1" bestFit="1" customWidth="1"/>
    <col min="12" max="16384" width="11" style="1"/>
  </cols>
  <sheetData>
    <row r="1" spans="1:10" ht="26.4" customHeight="1">
      <c r="A1" s="203" t="s">
        <v>145</v>
      </c>
      <c r="B1" s="204"/>
      <c r="C1" s="205"/>
      <c r="D1" s="205"/>
      <c r="E1" s="205"/>
      <c r="F1" s="206" t="s">
        <v>122</v>
      </c>
      <c r="G1" s="370" t="s">
        <v>345</v>
      </c>
      <c r="H1" s="370"/>
      <c r="I1" s="467">
        <v>2024</v>
      </c>
    </row>
    <row r="2" spans="1:10" s="3" customFormat="1" ht="18" customHeight="1" thickBot="1">
      <c r="A2" s="17"/>
      <c r="I2" s="77"/>
    </row>
    <row r="3" spans="1:10" ht="18.75" hidden="1" customHeight="1" thickBot="1">
      <c r="A3" s="931" t="s">
        <v>53</v>
      </c>
      <c r="B3" s="932"/>
      <c r="C3" s="933"/>
      <c r="D3" s="82"/>
      <c r="E3" s="82"/>
      <c r="F3" s="82"/>
      <c r="G3" s="82"/>
      <c r="H3" s="82"/>
      <c r="I3" s="83"/>
    </row>
    <row r="4" spans="1:10" ht="18.75" hidden="1" customHeight="1">
      <c r="A4" s="451" t="s">
        <v>219</v>
      </c>
      <c r="B4" s="452">
        <v>365</v>
      </c>
      <c r="C4" s="453" t="s">
        <v>220</v>
      </c>
      <c r="D4" s="452">
        <v>105</v>
      </c>
      <c r="E4" s="453" t="s">
        <v>221</v>
      </c>
      <c r="F4" s="454"/>
      <c r="G4" s="455" t="s">
        <v>222</v>
      </c>
      <c r="H4" s="456">
        <f>B4-D4-F4</f>
        <v>260</v>
      </c>
      <c r="I4" s="457"/>
      <c r="J4" s="653"/>
    </row>
    <row r="5" spans="1:10" ht="18.75" hidden="1" customHeight="1">
      <c r="A5" s="32" t="s">
        <v>52</v>
      </c>
      <c r="B5" s="33"/>
      <c r="C5" s="374"/>
      <c r="D5" s="33"/>
      <c r="E5" s="273" t="s">
        <v>226</v>
      </c>
      <c r="F5" s="373"/>
      <c r="G5" s="33"/>
      <c r="H5" s="33"/>
      <c r="I5" s="38"/>
    </row>
    <row r="6" spans="1:10" ht="18.75" hidden="1" customHeight="1">
      <c r="A6" s="32" t="s">
        <v>51</v>
      </c>
      <c r="B6" s="33"/>
      <c r="C6" s="374"/>
      <c r="D6" s="33" t="s">
        <v>63</v>
      </c>
      <c r="E6" s="33"/>
      <c r="F6" s="33"/>
      <c r="G6" s="33"/>
      <c r="H6" s="33"/>
      <c r="I6" s="38"/>
    </row>
    <row r="7" spans="1:10" ht="18.75" hidden="1" customHeight="1">
      <c r="A7" s="239" t="s">
        <v>50</v>
      </c>
      <c r="B7" s="240"/>
      <c r="C7" s="241">
        <f>H4-(SUM(C5:C6)+F5)</f>
        <v>260</v>
      </c>
      <c r="D7" s="33"/>
      <c r="F7" s="33"/>
      <c r="G7" s="273" t="s">
        <v>223</v>
      </c>
      <c r="H7" s="368">
        <v>8.4</v>
      </c>
      <c r="I7" s="463">
        <f>H7*C7</f>
        <v>2184</v>
      </c>
    </row>
    <row r="8" spans="1:10" ht="18.75" hidden="1" customHeight="1">
      <c r="A8" s="32" t="s">
        <v>49</v>
      </c>
      <c r="B8" s="33"/>
      <c r="C8" s="33"/>
      <c r="D8" s="33"/>
      <c r="E8" s="33"/>
      <c r="F8" s="33"/>
      <c r="G8" s="273" t="s">
        <v>48</v>
      </c>
      <c r="H8" s="1">
        <f>IF(C7*H7&lt;10000,C7*H7,0)</f>
        <v>2184</v>
      </c>
      <c r="I8" s="38"/>
    </row>
    <row r="9" spans="1:10" ht="18.75" hidden="1" customHeight="1" thickBot="1">
      <c r="A9" s="458" t="s">
        <v>47</v>
      </c>
      <c r="B9" s="459"/>
      <c r="C9" s="460">
        <v>0.11</v>
      </c>
      <c r="D9" s="461" t="s">
        <v>153</v>
      </c>
      <c r="E9" s="459"/>
      <c r="F9" s="459"/>
      <c r="G9" s="459"/>
      <c r="H9" s="459"/>
      <c r="I9" s="462"/>
    </row>
    <row r="10" spans="1:10" ht="18.75" customHeight="1" thickBot="1">
      <c r="A10" s="84" t="s">
        <v>46</v>
      </c>
      <c r="B10" s="85"/>
      <c r="C10" s="85"/>
      <c r="D10" s="85"/>
      <c r="E10" s="85"/>
      <c r="F10" s="85"/>
      <c r="G10" s="85"/>
      <c r="H10" s="274" t="s">
        <v>45</v>
      </c>
      <c r="I10" s="732">
        <v>1560</v>
      </c>
    </row>
    <row r="11" spans="1:10" ht="17.25" customHeight="1" thickBot="1">
      <c r="A11" s="35"/>
      <c r="I11" s="36"/>
    </row>
    <row r="12" spans="1:10" ht="21.75" customHeight="1" thickBot="1">
      <c r="A12" s="383" t="s">
        <v>44</v>
      </c>
      <c r="B12" s="366"/>
      <c r="C12" s="367"/>
      <c r="D12" s="82"/>
      <c r="E12" s="82"/>
      <c r="F12" s="82"/>
      <c r="G12" s="82"/>
      <c r="H12" s="82"/>
      <c r="I12" s="83"/>
    </row>
    <row r="13" spans="1:10" ht="27.75" customHeight="1">
      <c r="A13" s="49"/>
      <c r="B13" s="46" t="s">
        <v>25</v>
      </c>
      <c r="C13" s="46" t="s">
        <v>43</v>
      </c>
      <c r="D13" s="47" t="s">
        <v>42</v>
      </c>
      <c r="E13" s="45"/>
      <c r="F13" s="48" t="s">
        <v>41</v>
      </c>
      <c r="G13" s="48" t="s">
        <v>139</v>
      </c>
      <c r="H13" s="45"/>
      <c r="I13" s="50" t="s">
        <v>123</v>
      </c>
    </row>
    <row r="14" spans="1:10" ht="18.75" customHeight="1">
      <c r="A14" s="49"/>
      <c r="B14" s="46"/>
      <c r="C14" s="275" t="s">
        <v>209</v>
      </c>
      <c r="D14" s="355">
        <v>400</v>
      </c>
      <c r="E14" s="45"/>
      <c r="F14" s="48"/>
      <c r="G14" s="48"/>
      <c r="H14" s="45"/>
      <c r="I14" s="50"/>
    </row>
    <row r="15" spans="1:10" ht="18.75" customHeight="1">
      <c r="A15" s="51" t="s">
        <v>24</v>
      </c>
      <c r="B15" s="42">
        <v>0</v>
      </c>
      <c r="C15" s="484">
        <v>2</v>
      </c>
      <c r="D15" s="174">
        <f>C15*$B$4</f>
        <v>730</v>
      </c>
      <c r="E15" s="43"/>
      <c r="F15" s="174"/>
      <c r="G15" s="44"/>
      <c r="H15" s="43"/>
      <c r="I15" s="52"/>
    </row>
    <row r="16" spans="1:10" ht="18.75" customHeight="1">
      <c r="A16" s="51" t="s">
        <v>23</v>
      </c>
      <c r="B16" s="356">
        <v>15</v>
      </c>
      <c r="C16" s="484">
        <v>21</v>
      </c>
      <c r="D16" s="174">
        <f t="shared" ref="D16:D26" si="0">C16*$B$4</f>
        <v>7665</v>
      </c>
      <c r="E16" s="43"/>
      <c r="F16" s="174">
        <f t="shared" ref="F16:F27" si="1">B16*D16</f>
        <v>114975</v>
      </c>
      <c r="G16" s="44">
        <f>IFERROR(('Pflegetaxe Budget'!B16*365)/60/'Pflegetaxe Budget'!I$10,"")</f>
        <v>5.8493589743589744E-2</v>
      </c>
      <c r="H16" s="43"/>
      <c r="I16" s="52">
        <f>IFERROR(G16*C16,"")</f>
        <v>1.2283653846153846</v>
      </c>
    </row>
    <row r="17" spans="1:9" ht="18.75" customHeight="1">
      <c r="A17" s="51" t="s">
        <v>22</v>
      </c>
      <c r="B17" s="42">
        <v>30</v>
      </c>
      <c r="C17" s="484">
        <v>20</v>
      </c>
      <c r="D17" s="174">
        <f t="shared" si="0"/>
        <v>7300</v>
      </c>
      <c r="E17" s="43"/>
      <c r="F17" s="174">
        <f t="shared" si="1"/>
        <v>219000</v>
      </c>
      <c r="G17" s="44">
        <f>IFERROR(('Pflegetaxe Budget'!B17*365)/60/'Pflegetaxe Budget'!I$10,"")</f>
        <v>0.11698717948717949</v>
      </c>
      <c r="H17" s="43"/>
      <c r="I17" s="52">
        <f t="shared" ref="I17:I27" si="2">IFERROR(G17*C17,"")</f>
        <v>2.3397435897435899</v>
      </c>
    </row>
    <row r="18" spans="1:9" ht="18.75" customHeight="1">
      <c r="A18" s="51" t="s">
        <v>21</v>
      </c>
      <c r="B18" s="42">
        <v>50</v>
      </c>
      <c r="C18" s="484">
        <v>7</v>
      </c>
      <c r="D18" s="174">
        <f t="shared" si="0"/>
        <v>2555</v>
      </c>
      <c r="E18" s="43"/>
      <c r="F18" s="174">
        <f t="shared" si="1"/>
        <v>127750</v>
      </c>
      <c r="G18" s="44">
        <f>IFERROR(('Pflegetaxe Budget'!B18*365)/60/'Pflegetaxe Budget'!I$10,"")</f>
        <v>0.19497863247863248</v>
      </c>
      <c r="H18" s="43"/>
      <c r="I18" s="52">
        <f t="shared" si="2"/>
        <v>1.3648504273504274</v>
      </c>
    </row>
    <row r="19" spans="1:9" ht="18.75" customHeight="1">
      <c r="A19" s="51" t="s">
        <v>20</v>
      </c>
      <c r="B19" s="42">
        <v>70</v>
      </c>
      <c r="C19" s="484">
        <v>14</v>
      </c>
      <c r="D19" s="174">
        <f t="shared" si="0"/>
        <v>5110</v>
      </c>
      <c r="E19" s="43"/>
      <c r="F19" s="174">
        <f t="shared" si="1"/>
        <v>357700</v>
      </c>
      <c r="G19" s="44">
        <f>IFERROR(('Pflegetaxe Budget'!B19*365)/60/'Pflegetaxe Budget'!I$10,"")</f>
        <v>0.27297008547008544</v>
      </c>
      <c r="H19" s="43"/>
      <c r="I19" s="52">
        <f t="shared" si="2"/>
        <v>3.8215811965811963</v>
      </c>
    </row>
    <row r="20" spans="1:9" ht="18.75" customHeight="1">
      <c r="A20" s="51" t="s">
        <v>19</v>
      </c>
      <c r="B20" s="42">
        <v>90</v>
      </c>
      <c r="C20" s="484">
        <v>11</v>
      </c>
      <c r="D20" s="174">
        <f t="shared" si="0"/>
        <v>4015</v>
      </c>
      <c r="E20" s="43"/>
      <c r="F20" s="174">
        <f t="shared" si="1"/>
        <v>361350</v>
      </c>
      <c r="G20" s="44">
        <f>IFERROR(('Pflegetaxe Budget'!B20*365)/60/'Pflegetaxe Budget'!I$10,"")</f>
        <v>0.35096153846153844</v>
      </c>
      <c r="H20" s="43"/>
      <c r="I20" s="52">
        <f t="shared" si="2"/>
        <v>3.8605769230769229</v>
      </c>
    </row>
    <row r="21" spans="1:9" ht="18.75" customHeight="1">
      <c r="A21" s="51" t="s">
        <v>18</v>
      </c>
      <c r="B21" s="42">
        <v>110</v>
      </c>
      <c r="C21" s="484">
        <v>9</v>
      </c>
      <c r="D21" s="174">
        <f t="shared" si="0"/>
        <v>3285</v>
      </c>
      <c r="E21" s="43"/>
      <c r="F21" s="174">
        <f t="shared" si="1"/>
        <v>361350</v>
      </c>
      <c r="G21" s="44">
        <f>IFERROR(('Pflegetaxe Budget'!B21*365)/60/'Pflegetaxe Budget'!I$10,"")</f>
        <v>0.42895299145299143</v>
      </c>
      <c r="H21" s="43"/>
      <c r="I21" s="52">
        <f t="shared" si="2"/>
        <v>3.8605769230769229</v>
      </c>
    </row>
    <row r="22" spans="1:9" ht="18.75" customHeight="1">
      <c r="A22" s="51" t="s">
        <v>17</v>
      </c>
      <c r="B22" s="42">
        <v>130</v>
      </c>
      <c r="C22" s="484">
        <v>11</v>
      </c>
      <c r="D22" s="174">
        <f t="shared" si="0"/>
        <v>4015</v>
      </c>
      <c r="E22" s="43"/>
      <c r="F22" s="174">
        <f t="shared" si="1"/>
        <v>521950</v>
      </c>
      <c r="G22" s="44">
        <f>IFERROR(('Pflegetaxe Budget'!B22*365)/60/'Pflegetaxe Budget'!I$10,"")</f>
        <v>0.50694444444444442</v>
      </c>
      <c r="H22" s="43"/>
      <c r="I22" s="52">
        <f t="shared" si="2"/>
        <v>5.5763888888888884</v>
      </c>
    </row>
    <row r="23" spans="1:9" ht="18.75" customHeight="1">
      <c r="A23" s="51" t="s">
        <v>16</v>
      </c>
      <c r="B23" s="42">
        <v>150</v>
      </c>
      <c r="C23" s="484">
        <v>9</v>
      </c>
      <c r="D23" s="174">
        <f t="shared" si="0"/>
        <v>3285</v>
      </c>
      <c r="E23" s="43"/>
      <c r="F23" s="174">
        <f t="shared" si="1"/>
        <v>492750</v>
      </c>
      <c r="G23" s="44">
        <f>IFERROR(('Pflegetaxe Budget'!B23*365)/60/'Pflegetaxe Budget'!I$10,"")</f>
        <v>0.58493589743589747</v>
      </c>
      <c r="H23" s="43"/>
      <c r="I23" s="52">
        <f t="shared" si="2"/>
        <v>5.2644230769230775</v>
      </c>
    </row>
    <row r="24" spans="1:9" ht="18.75" customHeight="1">
      <c r="A24" s="51" t="s">
        <v>15</v>
      </c>
      <c r="B24" s="42">
        <v>170</v>
      </c>
      <c r="C24" s="484">
        <v>6</v>
      </c>
      <c r="D24" s="174">
        <f t="shared" si="0"/>
        <v>2190</v>
      </c>
      <c r="E24" s="43"/>
      <c r="F24" s="174">
        <f t="shared" si="1"/>
        <v>372300</v>
      </c>
      <c r="G24" s="44">
        <f>IFERROR(('Pflegetaxe Budget'!B24*365)/60/'Pflegetaxe Budget'!I$10,"")</f>
        <v>0.66292735042735051</v>
      </c>
      <c r="H24" s="43"/>
      <c r="I24" s="52">
        <f t="shared" si="2"/>
        <v>3.9775641025641031</v>
      </c>
    </row>
    <row r="25" spans="1:9" ht="18.75" customHeight="1">
      <c r="A25" s="51" t="s">
        <v>14</v>
      </c>
      <c r="B25" s="42">
        <v>190</v>
      </c>
      <c r="C25" s="484">
        <v>5</v>
      </c>
      <c r="D25" s="174">
        <f t="shared" si="0"/>
        <v>1825</v>
      </c>
      <c r="E25" s="43"/>
      <c r="F25" s="174">
        <f t="shared" si="1"/>
        <v>346750</v>
      </c>
      <c r="G25" s="44">
        <f>IFERROR(('Pflegetaxe Budget'!B25*365)/60/'Pflegetaxe Budget'!I$10,"")</f>
        <v>0.74091880341880334</v>
      </c>
      <c r="H25" s="43"/>
      <c r="I25" s="52">
        <f t="shared" si="2"/>
        <v>3.7045940170940166</v>
      </c>
    </row>
    <row r="26" spans="1:9" ht="18.75" customHeight="1">
      <c r="A26" s="51" t="s">
        <v>13</v>
      </c>
      <c r="B26" s="42">
        <v>210</v>
      </c>
      <c r="C26" s="484">
        <v>2</v>
      </c>
      <c r="D26" s="174">
        <f t="shared" si="0"/>
        <v>730</v>
      </c>
      <c r="E26" s="43"/>
      <c r="F26" s="174">
        <f t="shared" si="1"/>
        <v>153300</v>
      </c>
      <c r="G26" s="44">
        <f>IFERROR(('Pflegetaxe Budget'!B26*365)/60/'Pflegetaxe Budget'!I$10,"")</f>
        <v>0.81891025641025639</v>
      </c>
      <c r="H26" s="43"/>
      <c r="I26" s="52">
        <f t="shared" si="2"/>
        <v>1.6378205128205128</v>
      </c>
    </row>
    <row r="27" spans="1:9" ht="18.75" customHeight="1">
      <c r="A27" s="51" t="s">
        <v>12</v>
      </c>
      <c r="B27" s="356">
        <v>230</v>
      </c>
      <c r="C27" s="484">
        <v>1</v>
      </c>
      <c r="D27" s="174">
        <f>C27*$B$4</f>
        <v>365</v>
      </c>
      <c r="E27" s="43"/>
      <c r="F27" s="174">
        <f t="shared" si="1"/>
        <v>83950</v>
      </c>
      <c r="G27" s="44">
        <f>IFERROR(('Pflegetaxe Budget'!B27*365)/60/'Pflegetaxe Budget'!I$10,"")</f>
        <v>0.89690170940170943</v>
      </c>
      <c r="H27" s="43"/>
      <c r="I27" s="52">
        <f t="shared" si="2"/>
        <v>0.89690170940170943</v>
      </c>
    </row>
    <row r="28" spans="1:9" ht="18.75" customHeight="1">
      <c r="A28" s="51" t="s">
        <v>208</v>
      </c>
      <c r="B28" s="51"/>
      <c r="C28" s="384">
        <f>SUM(C15:C27)+(D14/365)</f>
        <v>119.0958904109589</v>
      </c>
      <c r="D28" s="174"/>
      <c r="E28" s="43"/>
      <c r="F28" s="174"/>
      <c r="G28" s="44"/>
      <c r="H28" s="43"/>
      <c r="I28" s="52"/>
    </row>
    <row r="29" spans="1:9" ht="18.75" customHeight="1">
      <c r="A29" s="51" t="s">
        <v>200</v>
      </c>
      <c r="B29" s="174"/>
      <c r="C29" s="238" t="s">
        <v>203</v>
      </c>
      <c r="D29" s="174">
        <f>SUM(D14:D27)</f>
        <v>43470</v>
      </c>
      <c r="E29" s="354" t="s">
        <v>210</v>
      </c>
      <c r="F29" s="174"/>
      <c r="G29" s="44"/>
      <c r="H29" s="43"/>
      <c r="I29" s="52"/>
    </row>
    <row r="30" spans="1:9" ht="18.75" customHeight="1">
      <c r="A30" s="51" t="s">
        <v>201</v>
      </c>
      <c r="B30" s="174"/>
      <c r="C30" s="238" t="s">
        <v>204</v>
      </c>
      <c r="D30" s="174">
        <f>SUM(D15:D27)</f>
        <v>43070</v>
      </c>
      <c r="E30" s="354" t="s">
        <v>211</v>
      </c>
      <c r="F30" s="174"/>
      <c r="G30" s="44"/>
      <c r="H30" s="43"/>
      <c r="I30" s="52"/>
    </row>
    <row r="31" spans="1:9" ht="18.75" customHeight="1" thickBot="1">
      <c r="A31" s="236" t="s">
        <v>202</v>
      </c>
      <c r="B31" s="179"/>
      <c r="C31" s="238" t="s">
        <v>205</v>
      </c>
      <c r="D31" s="174">
        <f>SUM(D16:D27)</f>
        <v>42340</v>
      </c>
      <c r="E31" s="465" t="s">
        <v>207</v>
      </c>
      <c r="F31" s="174">
        <f>SUM(F16:F27)</f>
        <v>3513125</v>
      </c>
      <c r="G31" s="464" t="s">
        <v>206</v>
      </c>
      <c r="H31" s="466" t="s">
        <v>40</v>
      </c>
      <c r="I31" s="237">
        <f>SUM(I16:I27)</f>
        <v>37.533386752136749</v>
      </c>
    </row>
    <row r="32" spans="1:9" ht="18.75" customHeight="1" thickBot="1">
      <c r="A32" s="84" t="s">
        <v>39</v>
      </c>
      <c r="B32" s="85"/>
      <c r="C32" s="85"/>
      <c r="D32" s="85"/>
      <c r="E32" s="85"/>
      <c r="F32" s="85"/>
      <c r="G32" s="86"/>
      <c r="H32" s="85"/>
      <c r="I32" s="87">
        <f>I31</f>
        <v>37.533386752136749</v>
      </c>
    </row>
    <row r="33" spans="1:9" ht="17.25" customHeight="1" thickBot="1">
      <c r="A33" s="35"/>
      <c r="D33" s="2"/>
      <c r="F33" s="31"/>
      <c r="I33" s="78"/>
    </row>
    <row r="34" spans="1:9" ht="18.75" customHeight="1">
      <c r="A34" s="88" t="s">
        <v>65</v>
      </c>
      <c r="B34" s="89"/>
      <c r="C34" s="89"/>
      <c r="D34" s="90"/>
      <c r="E34" s="89"/>
      <c r="F34" s="91"/>
      <c r="G34" s="89"/>
      <c r="H34" s="89"/>
      <c r="I34" s="92"/>
    </row>
    <row r="35" spans="1:9" ht="32.25" customHeight="1">
      <c r="A35" s="51"/>
      <c r="B35" s="58"/>
      <c r="C35" s="58"/>
      <c r="D35" s="58"/>
      <c r="E35" s="58"/>
      <c r="F35" s="59" t="s">
        <v>1</v>
      </c>
      <c r="G35" s="703" t="s">
        <v>308</v>
      </c>
      <c r="H35" s="41" t="s">
        <v>55</v>
      </c>
      <c r="I35" s="62" t="s">
        <v>0</v>
      </c>
    </row>
    <row r="36" spans="1:9" ht="18.75" customHeight="1">
      <c r="A36" s="63" t="s">
        <v>194</v>
      </c>
      <c r="B36" s="60"/>
      <c r="C36" s="60"/>
      <c r="D36" s="60"/>
      <c r="E36" s="60"/>
      <c r="F36" s="375">
        <v>2</v>
      </c>
      <c r="G36" s="371">
        <v>1.8</v>
      </c>
      <c r="H36" s="61">
        <v>0.75</v>
      </c>
      <c r="I36" s="52">
        <f t="shared" ref="I36:I39" si="3">G36*H36</f>
        <v>1.35</v>
      </c>
    </row>
    <row r="37" spans="1:9" ht="18.75" customHeight="1">
      <c r="A37" s="63" t="s">
        <v>300</v>
      </c>
      <c r="B37" s="60"/>
      <c r="C37" s="60"/>
      <c r="D37" s="60"/>
      <c r="E37" s="60"/>
      <c r="F37" s="375">
        <v>5</v>
      </c>
      <c r="G37" s="371">
        <v>2</v>
      </c>
      <c r="H37" s="61">
        <v>0.75</v>
      </c>
      <c r="I37" s="52">
        <f t="shared" si="3"/>
        <v>1.5</v>
      </c>
    </row>
    <row r="38" spans="1:9" ht="18.75" customHeight="1">
      <c r="A38" s="63" t="s">
        <v>64</v>
      </c>
      <c r="B38" s="60"/>
      <c r="C38" s="60"/>
      <c r="D38" s="60"/>
      <c r="E38" s="60"/>
      <c r="F38" s="375">
        <v>1</v>
      </c>
      <c r="G38" s="371">
        <v>0.5</v>
      </c>
      <c r="H38" s="61">
        <v>0.75</v>
      </c>
      <c r="I38" s="52">
        <f t="shared" si="3"/>
        <v>0.375</v>
      </c>
    </row>
    <row r="39" spans="1:9" ht="18.75" customHeight="1">
      <c r="A39" s="63" t="s">
        <v>38</v>
      </c>
      <c r="B39" s="60"/>
      <c r="C39" s="60"/>
      <c r="D39" s="60"/>
      <c r="E39" s="60"/>
      <c r="F39" s="376">
        <v>4</v>
      </c>
      <c r="G39" s="385">
        <f>+F39*0.2</f>
        <v>0.8</v>
      </c>
      <c r="H39" s="61">
        <v>0.75</v>
      </c>
      <c r="I39" s="52">
        <f t="shared" si="3"/>
        <v>0.60000000000000009</v>
      </c>
    </row>
    <row r="40" spans="1:9" ht="18.75" customHeight="1">
      <c r="A40" s="357" t="s">
        <v>37</v>
      </c>
      <c r="B40" s="358"/>
      <c r="C40" s="358"/>
      <c r="D40" s="358"/>
      <c r="E40" s="358"/>
      <c r="F40" s="375"/>
      <c r="G40" s="371"/>
      <c r="H40" s="61">
        <v>0.75</v>
      </c>
      <c r="I40" s="52">
        <f>G40*H40</f>
        <v>0</v>
      </c>
    </row>
    <row r="41" spans="1:9" ht="22.5" customHeight="1" thickBot="1">
      <c r="A41" s="357" t="s">
        <v>37</v>
      </c>
      <c r="B41" s="359"/>
      <c r="C41" s="359"/>
      <c r="D41" s="359"/>
      <c r="E41" s="359"/>
      <c r="F41" s="375"/>
      <c r="G41" s="372"/>
      <c r="H41" s="61">
        <v>0.75</v>
      </c>
      <c r="I41" s="360">
        <f>G41*H41</f>
        <v>0</v>
      </c>
    </row>
    <row r="42" spans="1:9" ht="18.75" customHeight="1" thickBot="1">
      <c r="A42" s="84" t="s">
        <v>140</v>
      </c>
      <c r="B42" s="85"/>
      <c r="C42" s="85"/>
      <c r="D42" s="85"/>
      <c r="E42" s="85"/>
      <c r="F42" s="85"/>
      <c r="G42" s="86"/>
      <c r="H42" s="85"/>
      <c r="I42" s="87">
        <f>SUM(I36:I41)</f>
        <v>3.8250000000000002</v>
      </c>
    </row>
    <row r="43" spans="1:9" ht="17.25" customHeight="1" thickBot="1">
      <c r="A43" s="79"/>
      <c r="B43" s="56"/>
      <c r="C43" s="56"/>
      <c r="D43" s="56"/>
      <c r="E43" s="56"/>
      <c r="F43" s="56"/>
      <c r="G43" s="57"/>
      <c r="H43" s="56"/>
      <c r="I43" s="80"/>
    </row>
    <row r="44" spans="1:9" ht="18.75" customHeight="1" thickBot="1">
      <c r="A44" s="84" t="s">
        <v>36</v>
      </c>
      <c r="B44" s="85"/>
      <c r="C44" s="85"/>
      <c r="D44" s="85"/>
      <c r="E44" s="85"/>
      <c r="F44" s="85"/>
      <c r="G44" s="86"/>
      <c r="H44" s="85"/>
      <c r="I44" s="87">
        <f>I32+I42</f>
        <v>41.358386752136752</v>
      </c>
    </row>
    <row r="45" spans="1:9" s="151" customFormat="1" ht="6.75" customHeight="1" thickBot="1">
      <c r="A45" s="147"/>
      <c r="B45" s="148"/>
      <c r="C45" s="148"/>
      <c r="D45" s="148"/>
      <c r="E45" s="148"/>
      <c r="F45" s="148"/>
      <c r="G45" s="149"/>
      <c r="H45" s="148"/>
      <c r="I45" s="150"/>
    </row>
    <row r="46" spans="1:9" ht="18.75" customHeight="1" thickBot="1">
      <c r="A46" s="84" t="s">
        <v>141</v>
      </c>
      <c r="B46" s="82"/>
      <c r="C46" s="82"/>
      <c r="D46" s="93"/>
      <c r="E46" s="82"/>
      <c r="F46" s="94"/>
      <c r="G46" s="82"/>
      <c r="H46" s="82"/>
      <c r="I46" s="95"/>
    </row>
    <row r="47" spans="1:9" ht="27.6">
      <c r="A47" s="207"/>
      <c r="B47" s="34"/>
      <c r="C47" s="34"/>
      <c r="D47" s="208"/>
      <c r="E47" s="208" t="s">
        <v>66</v>
      </c>
      <c r="F47" s="870" t="s">
        <v>332</v>
      </c>
      <c r="G47" s="34" t="s">
        <v>34</v>
      </c>
      <c r="H47" s="34"/>
      <c r="I47" s="209" t="s">
        <v>35</v>
      </c>
    </row>
    <row r="48" spans="1:9" ht="6" customHeight="1">
      <c r="A48" s="35"/>
      <c r="E48" s="31"/>
      <c r="F48" s="31"/>
      <c r="G48" s="31"/>
      <c r="H48" s="399"/>
      <c r="I48" s="812"/>
    </row>
    <row r="49" spans="1:11" ht="18.75" customHeight="1">
      <c r="A49" s="51" t="s">
        <v>33</v>
      </c>
      <c r="B49" s="43"/>
      <c r="C49" s="43"/>
      <c r="D49" s="43"/>
      <c r="E49" s="872">
        <v>0.18</v>
      </c>
      <c r="F49" s="406">
        <f>IF(ISERROR($I$44*E49),"",$I$44*E49)</f>
        <v>7.4445096153846153</v>
      </c>
      <c r="G49" s="873">
        <v>7400</v>
      </c>
      <c r="H49" s="43"/>
      <c r="I49" s="812">
        <f>IF(ISERROR(ROUNDUP(G49*13*F49,-3)),"",ROUNDUP(G49*13*F49,-3))</f>
        <v>717000</v>
      </c>
    </row>
    <row r="50" spans="1:11" ht="18.75" customHeight="1">
      <c r="A50" s="51" t="s">
        <v>32</v>
      </c>
      <c r="B50" s="43"/>
      <c r="C50" s="43"/>
      <c r="D50" s="43"/>
      <c r="E50" s="872">
        <v>0.3</v>
      </c>
      <c r="F50" s="406">
        <f>$I$44*E50</f>
        <v>12.407516025641025</v>
      </c>
      <c r="G50" s="873">
        <v>5800</v>
      </c>
      <c r="H50" s="43"/>
      <c r="I50" s="812">
        <f>ROUNDUP(G50*13*F50,-3)</f>
        <v>936000</v>
      </c>
    </row>
    <row r="51" spans="1:11" ht="18.75" customHeight="1">
      <c r="A51" s="51" t="s">
        <v>31</v>
      </c>
      <c r="B51" s="43"/>
      <c r="C51" s="43"/>
      <c r="D51" s="43"/>
      <c r="E51" s="407">
        <f>100%-E49-E50</f>
        <v>0.52</v>
      </c>
      <c r="F51" s="406">
        <f>$I$44*E51</f>
        <v>21.506361111111111</v>
      </c>
      <c r="G51" s="873">
        <v>4950</v>
      </c>
      <c r="H51" s="43"/>
      <c r="I51" s="812">
        <f>ROUNDUP(G51*13*F51,-3)</f>
        <v>1384000</v>
      </c>
    </row>
    <row r="52" spans="1:11" ht="18.75" customHeight="1">
      <c r="A52" s="51" t="s">
        <v>188</v>
      </c>
      <c r="B52" s="43"/>
      <c r="C52" s="43"/>
      <c r="D52" s="43"/>
      <c r="E52" s="407">
        <v>0.08</v>
      </c>
      <c r="F52" s="408"/>
      <c r="G52" s="391"/>
      <c r="H52" s="43"/>
      <c r="I52" s="812">
        <f>SUM(I49:I51)*E52</f>
        <v>242960</v>
      </c>
      <c r="K52" s="871"/>
    </row>
    <row r="53" spans="1:11" ht="18.75" customHeight="1">
      <c r="A53" s="51" t="s">
        <v>333</v>
      </c>
      <c r="B53" s="43"/>
      <c r="C53" s="43"/>
      <c r="D53" s="43"/>
      <c r="E53" s="874"/>
      <c r="F53" s="409">
        <v>15</v>
      </c>
      <c r="H53" s="399"/>
      <c r="I53" s="812">
        <f>1300*13*F53</f>
        <v>253500</v>
      </c>
    </row>
    <row r="54" spans="1:11" ht="18.75" customHeight="1" thickBot="1">
      <c r="A54" s="64" t="s">
        <v>10</v>
      </c>
      <c r="B54" s="65"/>
      <c r="C54" s="65"/>
      <c r="D54" s="65"/>
      <c r="F54" s="411"/>
      <c r="G54" s="410">
        <v>0.23</v>
      </c>
      <c r="H54" s="65"/>
      <c r="I54" s="813">
        <f>SUM(I49:I53)*G54</f>
        <v>812695.8</v>
      </c>
    </row>
    <row r="55" spans="1:11" ht="18.75" customHeight="1" thickBot="1">
      <c r="A55" s="84" t="s">
        <v>143</v>
      </c>
      <c r="B55" s="85"/>
      <c r="C55" s="85"/>
      <c r="D55" s="85"/>
      <c r="E55" s="85"/>
      <c r="F55" s="96">
        <f>F49+F50+F51</f>
        <v>41.358386752136752</v>
      </c>
      <c r="G55" s="86"/>
      <c r="H55" s="85"/>
      <c r="I55" s="814">
        <f>SUM(I49:I54)</f>
        <v>4346155.8</v>
      </c>
    </row>
    <row r="56" spans="1:11" ht="17.25" customHeight="1" thickBot="1">
      <c r="A56" s="68"/>
      <c r="B56" s="69"/>
      <c r="C56" s="69"/>
      <c r="D56" s="69"/>
      <c r="E56" s="70"/>
      <c r="F56" s="71"/>
      <c r="G56" s="72"/>
      <c r="H56" s="34"/>
      <c r="I56" s="815"/>
    </row>
    <row r="57" spans="1:11" ht="18.75" customHeight="1" thickBot="1">
      <c r="A57" s="88" t="s">
        <v>142</v>
      </c>
      <c r="B57" s="89"/>
      <c r="C57" s="89"/>
      <c r="D57" s="90"/>
      <c r="E57" s="89"/>
      <c r="F57" s="91"/>
      <c r="G57" s="89"/>
      <c r="H57" s="89"/>
      <c r="I57" s="816"/>
    </row>
    <row r="58" spans="1:11" ht="18.75" customHeight="1">
      <c r="A58" s="507" t="s">
        <v>67</v>
      </c>
      <c r="B58" s="508"/>
      <c r="C58" s="508"/>
      <c r="D58" s="508"/>
      <c r="E58" s="822">
        <v>200</v>
      </c>
      <c r="F58" s="509"/>
      <c r="G58" s="509"/>
      <c r="H58" s="508"/>
      <c r="I58" s="817">
        <f>+E58/365*D31</f>
        <v>23200</v>
      </c>
    </row>
    <row r="59" spans="1:11" ht="18.75" customHeight="1">
      <c r="A59" s="393" t="s">
        <v>30</v>
      </c>
      <c r="B59" s="394"/>
      <c r="C59" s="394"/>
      <c r="D59" s="394"/>
      <c r="E59" s="823">
        <v>1000</v>
      </c>
      <c r="F59" s="395"/>
      <c r="G59" s="395"/>
      <c r="H59" s="394"/>
      <c r="I59" s="812">
        <f>+E59*F55</f>
        <v>41358.38675213675</v>
      </c>
    </row>
    <row r="60" spans="1:11" ht="18.75" customHeight="1">
      <c r="A60" s="393" t="s">
        <v>3</v>
      </c>
      <c r="B60" s="394"/>
      <c r="C60" s="394"/>
      <c r="D60" s="394"/>
      <c r="E60" s="823">
        <v>500</v>
      </c>
      <c r="F60" s="395"/>
      <c r="G60" s="395"/>
      <c r="H60" s="394"/>
      <c r="I60" s="812">
        <f>+E60*F55</f>
        <v>20679.193376068375</v>
      </c>
    </row>
    <row r="61" spans="1:11" ht="18.75" customHeight="1">
      <c r="A61" s="393" t="s">
        <v>29</v>
      </c>
      <c r="B61" s="394"/>
      <c r="C61" s="394"/>
      <c r="D61" s="394"/>
      <c r="E61" s="773">
        <v>0.05</v>
      </c>
      <c r="F61" s="395"/>
      <c r="G61" s="395"/>
      <c r="H61" s="394"/>
      <c r="I61" s="812">
        <f>I55*E61</f>
        <v>217307.79</v>
      </c>
    </row>
    <row r="62" spans="1:11" ht="18.75" customHeight="1">
      <c r="A62" s="393" t="s">
        <v>28</v>
      </c>
      <c r="B62" s="394"/>
      <c r="C62" s="394"/>
      <c r="D62" s="394"/>
      <c r="E62" s="823">
        <v>1200</v>
      </c>
      <c r="F62" s="504"/>
      <c r="G62" s="505"/>
      <c r="H62" s="394"/>
      <c r="I62" s="812">
        <f>D31/365*E62</f>
        <v>139200</v>
      </c>
    </row>
    <row r="63" spans="1:11" ht="18.75" customHeight="1">
      <c r="A63" s="393" t="s">
        <v>310</v>
      </c>
      <c r="B63" s="394"/>
      <c r="C63" s="394"/>
      <c r="D63" s="394"/>
      <c r="E63" s="823">
        <v>200</v>
      </c>
      <c r="F63" s="505"/>
      <c r="G63" s="505"/>
      <c r="H63" s="731"/>
      <c r="I63" s="812">
        <f>D31/365*E63</f>
        <v>23200</v>
      </c>
    </row>
    <row r="64" spans="1:11" ht="18.75" customHeight="1" thickBot="1">
      <c r="A64" s="772" t="s">
        <v>321</v>
      </c>
      <c r="B64" s="767"/>
      <c r="C64" s="767"/>
      <c r="D64" s="767"/>
      <c r="E64" s="823">
        <v>150</v>
      </c>
      <c r="F64" s="505"/>
      <c r="G64" s="505"/>
      <c r="H64" s="510"/>
      <c r="I64" s="818">
        <f>D31/365*E64</f>
        <v>17400</v>
      </c>
    </row>
    <row r="65" spans="1:9" ht="18.75" customHeight="1" thickBot="1">
      <c r="A65" s="84" t="s">
        <v>144</v>
      </c>
      <c r="B65" s="85"/>
      <c r="C65" s="85"/>
      <c r="D65" s="85"/>
      <c r="E65" s="85"/>
      <c r="F65" s="85"/>
      <c r="G65" s="85"/>
      <c r="H65" s="506"/>
      <c r="I65" s="819">
        <f>SUM(I58:I64)</f>
        <v>482345.37012820516</v>
      </c>
    </row>
    <row r="66" spans="1:9" ht="18.75" customHeight="1">
      <c r="A66" s="35" t="s">
        <v>269</v>
      </c>
      <c r="F66" s="1" t="s">
        <v>68</v>
      </c>
      <c r="H66" s="31"/>
      <c r="I66" s="820"/>
    </row>
    <row r="67" spans="1:9" ht="11.25" customHeight="1" thickBot="1">
      <c r="A67" s="35"/>
      <c r="E67" s="55"/>
      <c r="F67" s="54"/>
      <c r="G67" s="54"/>
      <c r="I67" s="821"/>
    </row>
    <row r="68" spans="1:9" ht="18.75" customHeight="1" thickBot="1">
      <c r="A68" s="84" t="s">
        <v>146</v>
      </c>
      <c r="B68" s="85"/>
      <c r="C68" s="85"/>
      <c r="D68" s="85"/>
      <c r="E68" s="85"/>
      <c r="F68" s="96"/>
      <c r="G68" s="86"/>
      <c r="H68" s="85"/>
      <c r="I68" s="814">
        <f>SUM(I55:I64)</f>
        <v>4828501.1701282049</v>
      </c>
    </row>
    <row r="69" spans="1:9" ht="15" customHeight="1" thickBot="1">
      <c r="A69" s="35"/>
      <c r="I69" s="36"/>
    </row>
    <row r="70" spans="1:9" ht="18.75" customHeight="1">
      <c r="A70" s="73"/>
      <c r="B70" s="97" t="s">
        <v>27</v>
      </c>
      <c r="C70" s="98"/>
      <c r="D70" s="98"/>
      <c r="E70" s="98"/>
      <c r="F70" s="99"/>
      <c r="G70" s="827">
        <f>IF(ISERROR(I55/F31),"",I55/F31)</f>
        <v>1.2371196014943959</v>
      </c>
      <c r="I70" s="36"/>
    </row>
    <row r="71" spans="1:9" ht="18.75" customHeight="1" thickBot="1">
      <c r="A71" s="74"/>
      <c r="B71" s="100" t="s">
        <v>26</v>
      </c>
      <c r="C71" s="101"/>
      <c r="D71" s="101"/>
      <c r="E71" s="101"/>
      <c r="F71" s="102"/>
      <c r="G71" s="828">
        <f>IF(ISERROR(I68/F31),"",I68/F31)</f>
        <v>1.3744176965317787</v>
      </c>
      <c r="I71" s="36"/>
    </row>
    <row r="72" spans="1:9" ht="18.75" customHeight="1">
      <c r="A72" s="74"/>
      <c r="C72" s="39"/>
      <c r="D72" s="53"/>
      <c r="E72" s="39"/>
      <c r="F72" s="39"/>
      <c r="G72" s="39"/>
      <c r="H72" s="39"/>
      <c r="I72" s="75"/>
    </row>
    <row r="73" spans="1:9" ht="26.4" customHeight="1" thickBot="1">
      <c r="A73" s="386"/>
      <c r="B73" s="387" t="s">
        <v>54</v>
      </c>
      <c r="C73" s="388"/>
      <c r="D73" s="389"/>
      <c r="E73" s="389"/>
      <c r="F73" s="389"/>
      <c r="G73" s="389"/>
      <c r="H73" s="389"/>
      <c r="I73" s="390"/>
    </row>
    <row r="74" spans="1:9" ht="18.75" customHeight="1" thickBot="1">
      <c r="A74" s="66"/>
      <c r="I74" s="36"/>
    </row>
    <row r="75" spans="1:9" ht="18.75" customHeight="1" thickBot="1">
      <c r="A75" s="84" t="s">
        <v>193</v>
      </c>
      <c r="B75" s="82"/>
      <c r="C75" s="82"/>
      <c r="D75" s="93"/>
      <c r="E75" s="82"/>
      <c r="F75" s="94"/>
      <c r="G75" s="82"/>
      <c r="H75" s="82"/>
      <c r="I75" s="95"/>
    </row>
    <row r="76" spans="1:9" ht="18.75" customHeight="1">
      <c r="A76" s="396"/>
      <c r="B76" s="397"/>
      <c r="C76" s="397"/>
      <c r="D76" s="397"/>
      <c r="E76" s="397"/>
      <c r="F76" s="501" t="s">
        <v>123</v>
      </c>
      <c r="G76" s="502" t="s">
        <v>218</v>
      </c>
      <c r="H76" s="397"/>
      <c r="I76" s="503" t="s">
        <v>147</v>
      </c>
    </row>
    <row r="77" spans="1:9" ht="18.75" customHeight="1">
      <c r="A77" s="398" t="s">
        <v>116</v>
      </c>
      <c r="B77" s="399"/>
      <c r="C77" s="399"/>
      <c r="D77" s="399"/>
      <c r="E77" s="399"/>
      <c r="F77" s="522">
        <v>10.8</v>
      </c>
      <c r="G77" s="400">
        <f>IF(ISERROR(100%/(F77+F78+F79)*F77),"",100%/(F77+F78+F79)*F77)</f>
        <v>0.17647058823529413</v>
      </c>
      <c r="H77" s="399"/>
      <c r="I77" s="824">
        <v>1141000</v>
      </c>
    </row>
    <row r="78" spans="1:9" ht="18.75" customHeight="1">
      <c r="A78" s="398" t="s">
        <v>117</v>
      </c>
      <c r="B78" s="399"/>
      <c r="C78" s="399"/>
      <c r="D78" s="399"/>
      <c r="E78" s="399"/>
      <c r="F78" s="522">
        <v>16.3</v>
      </c>
      <c r="G78" s="401">
        <f>IF(ISERROR(100%/(F77+F78+F79)*F78),"",100%/(F77+F78+F79)*F78)</f>
        <v>0.2663398692810458</v>
      </c>
      <c r="H78" s="399"/>
      <c r="I78" s="824">
        <v>1263000</v>
      </c>
    </row>
    <row r="79" spans="1:9" ht="18.75" customHeight="1">
      <c r="A79" s="398" t="s">
        <v>118</v>
      </c>
      <c r="B79" s="399"/>
      <c r="C79" s="399"/>
      <c r="D79" s="399"/>
      <c r="E79" s="399"/>
      <c r="F79" s="522">
        <v>34.1</v>
      </c>
      <c r="G79" s="401">
        <f>IF(ISERROR(100%/(F77+F78+F79)*F79),"",100%/(F77+F78+F79)*F79)</f>
        <v>0.55718954248366015</v>
      </c>
      <c r="H79" s="399"/>
      <c r="I79" s="824">
        <v>2064000</v>
      </c>
    </row>
    <row r="80" spans="1:9" ht="18.75" customHeight="1">
      <c r="A80" s="398" t="s">
        <v>189</v>
      </c>
      <c r="B80" s="399"/>
      <c r="C80" s="399"/>
      <c r="D80" s="399"/>
      <c r="E80" s="402"/>
      <c r="F80" s="392">
        <v>1.2</v>
      </c>
      <c r="G80" s="399"/>
      <c r="H80" s="399"/>
      <c r="I80" s="824">
        <v>100000</v>
      </c>
    </row>
    <row r="81" spans="1:9" ht="18.75" customHeight="1">
      <c r="A81" s="398" t="s">
        <v>336</v>
      </c>
      <c r="B81" s="399"/>
      <c r="C81" s="399"/>
      <c r="D81" s="399"/>
      <c r="E81" s="399"/>
      <c r="F81" s="392">
        <v>13</v>
      </c>
      <c r="G81" s="399"/>
      <c r="H81" s="399"/>
      <c r="I81" s="824">
        <v>238000</v>
      </c>
    </row>
    <row r="82" spans="1:9" ht="18.75" customHeight="1">
      <c r="A82" s="398" t="s">
        <v>335</v>
      </c>
      <c r="B82" s="399"/>
      <c r="C82" s="399"/>
      <c r="D82" s="399"/>
      <c r="E82" s="399"/>
      <c r="F82" s="392">
        <v>4.5</v>
      </c>
      <c r="G82" s="399"/>
      <c r="H82" s="399"/>
      <c r="I82" s="824">
        <v>52000</v>
      </c>
    </row>
    <row r="83" spans="1:9" ht="18.75" customHeight="1" thickBot="1">
      <c r="A83" s="403" t="s">
        <v>10</v>
      </c>
      <c r="B83" s="404"/>
      <c r="C83" s="404"/>
      <c r="D83" s="404"/>
      <c r="E83" s="405">
        <f>G54</f>
        <v>0.23</v>
      </c>
      <c r="F83" s="175"/>
      <c r="G83" s="404"/>
      <c r="H83" s="404"/>
      <c r="I83" s="825">
        <f>SUM(I77:I82)*E83</f>
        <v>1117340</v>
      </c>
    </row>
    <row r="84" spans="1:9" ht="18.75" customHeight="1" thickBot="1">
      <c r="A84" s="84" t="s">
        <v>334</v>
      </c>
      <c r="B84" s="85"/>
      <c r="C84" s="85"/>
      <c r="D84" s="85"/>
      <c r="E84" s="85"/>
      <c r="F84" s="704">
        <f>F77+F78+F79+F80</f>
        <v>62.400000000000006</v>
      </c>
      <c r="G84" s="705" t="s">
        <v>11</v>
      </c>
      <c r="H84" s="85"/>
      <c r="I84" s="814">
        <f>SUM(I77:I83)</f>
        <v>5975340</v>
      </c>
    </row>
    <row r="85" spans="1:9" ht="5.25" customHeight="1" thickBot="1">
      <c r="A85" s="176"/>
      <c r="B85" s="177"/>
      <c r="C85" s="177"/>
      <c r="D85" s="177"/>
      <c r="E85" s="177"/>
      <c r="F85" s="178"/>
      <c r="G85" s="706"/>
      <c r="H85" s="177"/>
      <c r="I85" s="826"/>
    </row>
    <row r="86" spans="1:9" ht="18.75" customHeight="1" thickBot="1">
      <c r="A86" s="84" t="s">
        <v>143</v>
      </c>
      <c r="B86" s="85"/>
      <c r="C86" s="85"/>
      <c r="D86" s="85"/>
      <c r="E86" s="85"/>
      <c r="F86" s="103">
        <f>+'Pflegetaxe Budget'!I44</f>
        <v>41.358386752136752</v>
      </c>
      <c r="G86" s="705" t="s">
        <v>11</v>
      </c>
      <c r="H86" s="85"/>
      <c r="I86" s="814">
        <f>'Pflegetaxe Budget'!I55</f>
        <v>4346155.8</v>
      </c>
    </row>
    <row r="87" spans="1:9" ht="14.4" thickBot="1">
      <c r="A87" s="35"/>
      <c r="F87" s="31"/>
      <c r="G87" s="175"/>
      <c r="I87" s="820"/>
    </row>
    <row r="88" spans="1:9" ht="18.75" customHeight="1" thickBot="1">
      <c r="A88" s="84" t="s">
        <v>9</v>
      </c>
      <c r="B88" s="85"/>
      <c r="C88" s="85"/>
      <c r="D88" s="85"/>
      <c r="E88" s="85"/>
      <c r="F88" s="103">
        <f>F84-F86</f>
        <v>21.041613247863253</v>
      </c>
      <c r="G88" s="705" t="s">
        <v>11</v>
      </c>
      <c r="H88" s="85"/>
      <c r="I88" s="814">
        <f>I84-I86</f>
        <v>1629184.2000000002</v>
      </c>
    </row>
    <row r="89" spans="1:9" ht="14.25" customHeight="1" thickBot="1">
      <c r="A89" s="35"/>
      <c r="E89" s="31"/>
      <c r="I89" s="36"/>
    </row>
    <row r="90" spans="1:9" ht="18.75" customHeight="1">
      <c r="A90" s="35"/>
      <c r="B90" s="97"/>
      <c r="C90" s="98" t="s">
        <v>309</v>
      </c>
      <c r="D90" s="98"/>
      <c r="E90" s="98"/>
      <c r="F90" s="99"/>
      <c r="G90" s="146">
        <f>IF(ISERROR(I88/I84),"",I88/I84)</f>
        <v>0.27265129682997119</v>
      </c>
      <c r="I90" s="36"/>
    </row>
    <row r="91" spans="1:9" ht="18.75" customHeight="1" thickBot="1">
      <c r="A91" s="37"/>
      <c r="B91" s="100"/>
      <c r="C91" s="101" t="s">
        <v>8</v>
      </c>
      <c r="D91" s="101"/>
      <c r="E91" s="101"/>
      <c r="F91" s="102"/>
      <c r="G91" s="829">
        <f>IF(ISERROR(I88/D30),"",I88/D30)</f>
        <v>37.8264267471558</v>
      </c>
      <c r="H91" s="76"/>
      <c r="I91" s="40"/>
    </row>
  </sheetData>
  <sheetProtection algorithmName="SHA-512" hashValue="TVXS2XO+zM2wN+91VF7BIZki3p/w6YFesQbIWixQLmDnmv1Efi6u5rr8BVyk1TgB4QukGg7qxq3v78t/hR0rkQ==" saltValue="ebiqN3txTuWjZpxbA9vxAw==" spinCount="100000" sheet="1" objects="1" scenarios="1"/>
  <mergeCells count="1">
    <mergeCell ref="A3:C3"/>
  </mergeCells>
  <conditionalFormatting sqref="H7">
    <cfRule type="cellIs" dxfId="51" priority="2" operator="equal">
      <formula>10000</formula>
    </cfRule>
  </conditionalFormatting>
  <conditionalFormatting sqref="I10">
    <cfRule type="cellIs" dxfId="50" priority="1" operator="greaterThan">
      <formula>10000</formula>
    </cfRule>
  </conditionalFormatting>
  <pageMargins left="0.39370078740157483" right="0.44062499999999999" top="0.59055118110236227" bottom="0.59055118110236227" header="0.31496062992125984" footer="0.31496062992125984"/>
  <pageSetup paperSize="9" scale="90" fitToHeight="2" orientation="portrait" cellComments="asDisplayed" r:id="rId1"/>
  <headerFooter alignWithMargins="0">
    <oddFooter>&amp;C&amp;P&amp;R&amp;5&amp;D</oddFooter>
  </headerFooter>
  <rowBreaks count="1" manualBreakCount="1">
    <brk id="45" max="8"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96E2A4"/>
    <pageSetUpPr fitToPage="1"/>
  </sheetPr>
  <dimension ref="A1:S56"/>
  <sheetViews>
    <sheetView showGridLines="0" tabSelected="1" view="pageLayout" topLeftCell="B37" zoomScale="102" zoomScaleNormal="80" zoomScalePageLayoutView="102" workbookViewId="0">
      <selection activeCell="D57" sqref="D57"/>
    </sheetView>
  </sheetViews>
  <sheetFormatPr baseColWidth="10" defaultColWidth="11" defaultRowHeight="15"/>
  <cols>
    <col min="1" max="1" width="43.69921875" style="9" customWidth="1"/>
    <col min="2" max="2" width="15.5" style="5" customWidth="1"/>
    <col min="3" max="3" width="10.59765625" style="5" customWidth="1"/>
    <col min="4" max="4" width="10" style="5" customWidth="1"/>
    <col min="5" max="5" width="16.5" style="10" customWidth="1"/>
    <col min="6" max="6" width="16.59765625" style="10" customWidth="1"/>
    <col min="7" max="7" width="16" style="10" customWidth="1"/>
    <col min="8" max="8" width="2" style="5" customWidth="1"/>
    <col min="9" max="9" width="17" style="5" customWidth="1"/>
    <col min="10" max="10" width="2" style="5" customWidth="1"/>
    <col min="11" max="11" width="15.69921875" style="5" customWidth="1"/>
    <col min="12" max="16384" width="11" style="5"/>
  </cols>
  <sheetData>
    <row r="1" spans="1:19" ht="24.6">
      <c r="A1" s="185" t="s">
        <v>148</v>
      </c>
      <c r="B1" s="186"/>
      <c r="C1" s="186"/>
      <c r="D1" s="187"/>
      <c r="E1" s="187"/>
      <c r="F1" s="187" t="s">
        <v>151</v>
      </c>
      <c r="G1" s="188" t="str">
        <f>'Pflegetaxe Budget'!G1</f>
        <v>SCHULUNG</v>
      </c>
      <c r="H1" s="188"/>
      <c r="I1" s="190"/>
      <c r="J1" s="190"/>
      <c r="K1" s="189">
        <f>'Pflegetaxe Budget'!I1:I1</f>
        <v>2024</v>
      </c>
    </row>
    <row r="2" spans="1:19">
      <c r="A2" s="137"/>
      <c r="K2" s="138"/>
    </row>
    <row r="3" spans="1:19" ht="15" customHeight="1">
      <c r="A3" s="139" t="s">
        <v>149</v>
      </c>
      <c r="B3" s="140">
        <f>K1</f>
        <v>2024</v>
      </c>
      <c r="C3" s="141"/>
      <c r="D3" s="142"/>
      <c r="E3" s="143"/>
      <c r="F3" s="143"/>
      <c r="G3" s="143"/>
      <c r="H3" s="144"/>
      <c r="I3" s="144"/>
      <c r="J3" s="144"/>
      <c r="K3" s="145"/>
      <c r="L3" s="13"/>
      <c r="M3" s="13"/>
      <c r="N3" s="4"/>
      <c r="O3" s="4"/>
      <c r="P3" s="4"/>
      <c r="Q3" s="4"/>
      <c r="R3" s="4"/>
      <c r="S3" s="4"/>
    </row>
    <row r="4" spans="1:19" s="12" customFormat="1" ht="62.4">
      <c r="A4" s="109" t="s">
        <v>94</v>
      </c>
      <c r="B4" s="109" t="s">
        <v>111</v>
      </c>
      <c r="C4" s="109" t="s">
        <v>110</v>
      </c>
      <c r="D4" s="109" t="s">
        <v>112</v>
      </c>
      <c r="E4" s="110" t="s">
        <v>109</v>
      </c>
      <c r="F4" s="110" t="s">
        <v>190</v>
      </c>
      <c r="G4" s="110" t="s">
        <v>108</v>
      </c>
      <c r="H4" s="109"/>
      <c r="I4" s="109" t="s">
        <v>301</v>
      </c>
      <c r="J4" s="109"/>
      <c r="K4" s="109" t="s">
        <v>191</v>
      </c>
      <c r="L4" s="15"/>
    </row>
    <row r="5" spans="1:19" s="108" customFormat="1" ht="13.8">
      <c r="A5" s="111"/>
      <c r="B5" s="112"/>
      <c r="C5" s="112"/>
      <c r="D5" s="112"/>
      <c r="E5" s="113"/>
      <c r="F5" s="113"/>
      <c r="G5" s="113"/>
      <c r="H5" s="112"/>
      <c r="I5" s="362">
        <v>2.5000000000000001E-2</v>
      </c>
      <c r="J5" s="114"/>
      <c r="K5" s="112"/>
    </row>
    <row r="6" spans="1:19" ht="31.2">
      <c r="A6" s="180" t="s">
        <v>95</v>
      </c>
      <c r="B6" s="8"/>
      <c r="C6" s="8"/>
      <c r="D6" s="8"/>
      <c r="E6" s="774"/>
      <c r="F6" s="774"/>
      <c r="G6" s="774"/>
      <c r="H6" s="774"/>
      <c r="I6" s="774"/>
      <c r="J6" s="774"/>
      <c r="K6" s="774"/>
      <c r="L6" s="6"/>
    </row>
    <row r="7" spans="1:19" s="108" customFormat="1" ht="13.8">
      <c r="A7" s="115" t="s">
        <v>96</v>
      </c>
      <c r="B7" s="181"/>
      <c r="C7" s="181"/>
      <c r="D7" s="181"/>
      <c r="E7" s="830"/>
      <c r="F7" s="831"/>
      <c r="G7" s="831"/>
      <c r="H7" s="831"/>
      <c r="I7" s="831">
        <f>E7*$I$5/2</f>
        <v>0</v>
      </c>
      <c r="J7" s="831"/>
      <c r="K7" s="830"/>
      <c r="L7" s="107"/>
    </row>
    <row r="8" spans="1:19" s="108" customFormat="1" ht="13.8">
      <c r="A8" s="117" t="s">
        <v>97</v>
      </c>
      <c r="B8" s="182"/>
      <c r="C8" s="182"/>
      <c r="D8" s="182"/>
      <c r="E8" s="832"/>
      <c r="F8" s="832"/>
      <c r="G8" s="832"/>
      <c r="H8" s="832"/>
      <c r="I8" s="832"/>
      <c r="J8" s="832"/>
      <c r="K8" s="833"/>
      <c r="L8" s="107"/>
    </row>
    <row r="9" spans="1:19" s="108" customFormat="1" ht="13.8">
      <c r="A9" s="117" t="s">
        <v>98</v>
      </c>
      <c r="B9" s="361"/>
      <c r="C9" s="182"/>
      <c r="D9" s="182"/>
      <c r="E9" s="830"/>
      <c r="F9" s="832"/>
      <c r="G9" s="832"/>
      <c r="H9" s="832"/>
      <c r="I9" s="832">
        <f>E9*$I$5/2</f>
        <v>0</v>
      </c>
      <c r="J9" s="832"/>
      <c r="K9" s="833"/>
      <c r="L9" s="107"/>
    </row>
    <row r="10" spans="1:19" s="108" customFormat="1" ht="13.8">
      <c r="A10" s="119" t="s">
        <v>195</v>
      </c>
      <c r="B10" s="183"/>
      <c r="C10" s="183"/>
      <c r="D10" s="184"/>
      <c r="E10" s="834">
        <f>SUM(E7:E9)</f>
        <v>0</v>
      </c>
      <c r="F10" s="834">
        <f>SUM(F7:F9)</f>
        <v>0</v>
      </c>
      <c r="G10" s="834">
        <f>SUM(G7:G9)</f>
        <v>0</v>
      </c>
      <c r="H10" s="834"/>
      <c r="I10" s="834">
        <f>SUM(I7:I9)</f>
        <v>0</v>
      </c>
      <c r="J10" s="834"/>
      <c r="K10" s="834">
        <f>SUM(K7:K9)</f>
        <v>0</v>
      </c>
      <c r="L10" s="107"/>
    </row>
    <row r="11" spans="1:19" ht="30.75" customHeight="1">
      <c r="A11" s="14" t="s">
        <v>99</v>
      </c>
      <c r="B11" s="7"/>
      <c r="C11" s="7"/>
      <c r="D11" s="7"/>
      <c r="E11" s="835"/>
      <c r="F11" s="835"/>
      <c r="G11" s="835"/>
      <c r="H11" s="835"/>
      <c r="I11" s="835"/>
      <c r="J11" s="835"/>
      <c r="K11" s="835"/>
      <c r="L11" s="6"/>
    </row>
    <row r="12" spans="1:19" s="108" customFormat="1" ht="13.8">
      <c r="A12" s="363" t="s">
        <v>347</v>
      </c>
      <c r="B12" s="364">
        <v>2005</v>
      </c>
      <c r="C12" s="122">
        <v>33</v>
      </c>
      <c r="D12" s="123">
        <f>100/C12</f>
        <v>3.0303030303030303</v>
      </c>
      <c r="E12" s="830">
        <v>18400000</v>
      </c>
      <c r="F12" s="831">
        <f>IF(K12=0,IF($B$3-B12&gt;C12,0,E12*D12/100),0)</f>
        <v>557575.75757575757</v>
      </c>
      <c r="G12" s="830"/>
      <c r="H12" s="831"/>
      <c r="I12" s="831">
        <f>IF($B$3-B12&gt;C12,0,E12*$I$5/2)</f>
        <v>230000</v>
      </c>
      <c r="J12" s="831"/>
      <c r="K12" s="830"/>
      <c r="L12" s="107"/>
    </row>
    <row r="13" spans="1:19" s="108" customFormat="1" ht="13.8">
      <c r="A13" s="365" t="s">
        <v>346</v>
      </c>
      <c r="B13" s="361">
        <v>2010</v>
      </c>
      <c r="C13" s="118">
        <v>33</v>
      </c>
      <c r="D13" s="124">
        <f>100/C13</f>
        <v>3.0303030303030303</v>
      </c>
      <c r="E13" s="833">
        <v>6600000</v>
      </c>
      <c r="F13" s="832">
        <f t="shared" ref="F13:F16" si="0">IF(K13=0,IF($B$3-B13&gt;C13,0,E13*D13/100),0)</f>
        <v>200000</v>
      </c>
      <c r="G13" s="830"/>
      <c r="H13" s="832"/>
      <c r="I13" s="832">
        <f>IF($B$3-B13&gt;C13,0,E13*$I$5/2)</f>
        <v>82500</v>
      </c>
      <c r="J13" s="832"/>
      <c r="K13" s="833"/>
      <c r="L13" s="107"/>
    </row>
    <row r="14" spans="1:19" s="108" customFormat="1" ht="13.8">
      <c r="A14" s="365" t="s">
        <v>348</v>
      </c>
      <c r="B14" s="361">
        <v>2012</v>
      </c>
      <c r="C14" s="118">
        <v>33</v>
      </c>
      <c r="D14" s="124">
        <f t="shared" ref="D14" si="1">100/C14</f>
        <v>3.0303030303030303</v>
      </c>
      <c r="E14" s="833">
        <v>1000000</v>
      </c>
      <c r="F14" s="832">
        <f t="shared" si="0"/>
        <v>30303.030303030304</v>
      </c>
      <c r="G14" s="833"/>
      <c r="H14" s="832"/>
      <c r="I14" s="832">
        <f>IF($B$3-B14&gt;C14,0,E14*$I$5/2)</f>
        <v>12500</v>
      </c>
      <c r="J14" s="832"/>
      <c r="K14" s="833"/>
      <c r="L14" s="107"/>
    </row>
    <row r="15" spans="1:19" s="108" customFormat="1" ht="13.8">
      <c r="A15" s="365" t="s">
        <v>349</v>
      </c>
      <c r="B15" s="361">
        <v>2021</v>
      </c>
      <c r="C15" s="118">
        <f t="shared" ref="C15:D16" si="2">C14</f>
        <v>33</v>
      </c>
      <c r="D15" s="124">
        <f t="shared" si="2"/>
        <v>3.0303030303030303</v>
      </c>
      <c r="E15" s="833">
        <v>1500000</v>
      </c>
      <c r="F15" s="832">
        <f t="shared" si="0"/>
        <v>45454.545454545456</v>
      </c>
      <c r="G15" s="833"/>
      <c r="H15" s="832"/>
      <c r="I15" s="832">
        <f>IF($B$3-B15&gt;C15,0,E15*$I$5/2)</f>
        <v>18750</v>
      </c>
      <c r="J15" s="832"/>
      <c r="K15" s="833"/>
      <c r="L15" s="107"/>
    </row>
    <row r="16" spans="1:19" s="108" customFormat="1" ht="13.8">
      <c r="A16" s="117" t="s">
        <v>100</v>
      </c>
      <c r="B16" s="118">
        <f>B3</f>
        <v>2024</v>
      </c>
      <c r="C16" s="118">
        <f t="shared" si="2"/>
        <v>33</v>
      </c>
      <c r="D16" s="124">
        <f t="shared" si="2"/>
        <v>3.0303030303030303</v>
      </c>
      <c r="E16" s="833"/>
      <c r="F16" s="832">
        <f t="shared" si="0"/>
        <v>0</v>
      </c>
      <c r="G16" s="833"/>
      <c r="H16" s="832"/>
      <c r="I16" s="832">
        <f>IF($B$3-B16&gt;C16,0,E16*$I$5/2)</f>
        <v>0</v>
      </c>
      <c r="J16" s="832"/>
      <c r="K16" s="833"/>
      <c r="L16" s="107"/>
    </row>
    <row r="17" spans="1:14" s="108" customFormat="1" ht="13.8">
      <c r="A17" s="119" t="s">
        <v>196</v>
      </c>
      <c r="B17" s="120"/>
      <c r="C17" s="120"/>
      <c r="D17" s="121"/>
      <c r="E17" s="834">
        <f>SUM(E12:E16)</f>
        <v>27500000</v>
      </c>
      <c r="F17" s="834">
        <f t="shared" ref="F17:K17" si="3">SUM(F12:F16)</f>
        <v>833333.33333333326</v>
      </c>
      <c r="G17" s="834">
        <f t="shared" si="3"/>
        <v>0</v>
      </c>
      <c r="H17" s="834"/>
      <c r="I17" s="834">
        <f t="shared" si="3"/>
        <v>343750</v>
      </c>
      <c r="J17" s="834"/>
      <c r="K17" s="834">
        <f t="shared" si="3"/>
        <v>0</v>
      </c>
      <c r="L17" s="107"/>
    </row>
    <row r="18" spans="1:14" ht="31.2">
      <c r="A18" s="14" t="s">
        <v>113</v>
      </c>
      <c r="B18" s="7"/>
      <c r="C18" s="7"/>
      <c r="D18" s="7"/>
      <c r="E18" s="835"/>
      <c r="F18" s="835"/>
      <c r="G18" s="835"/>
      <c r="H18" s="835"/>
      <c r="I18" s="835"/>
      <c r="J18" s="835"/>
      <c r="K18" s="835"/>
      <c r="L18" s="6"/>
      <c r="N18" s="10"/>
    </row>
    <row r="19" spans="1:14" s="108" customFormat="1" ht="13.8">
      <c r="A19" s="115" t="str">
        <f t="shared" ref="A19:B22" si="4">A12</f>
        <v>Hauptgebäude A</v>
      </c>
      <c r="B19" s="116">
        <f t="shared" si="4"/>
        <v>2005</v>
      </c>
      <c r="C19" s="122">
        <v>20</v>
      </c>
      <c r="D19" s="123">
        <f>100/C19</f>
        <v>5</v>
      </c>
      <c r="E19" s="831">
        <f>E12/80*20</f>
        <v>4600000</v>
      </c>
      <c r="F19" s="831">
        <f t="shared" ref="F19:F26" si="5">IF(K19=0,IF($B$3-B19&gt;C19,0,E19*D19/100),0)</f>
        <v>230000</v>
      </c>
      <c r="G19" s="830"/>
      <c r="H19" s="831"/>
      <c r="I19" s="831">
        <f t="shared" ref="I19:I26" si="6">IF($B$3-B19&gt;C19,0,E19*$I$5/2)</f>
        <v>57500</v>
      </c>
      <c r="J19" s="831"/>
      <c r="K19" s="830"/>
      <c r="L19" s="107"/>
    </row>
    <row r="20" spans="1:14" s="108" customFormat="1" ht="13.8">
      <c r="A20" s="117" t="str">
        <f t="shared" si="4"/>
        <v>Nebengebäude B</v>
      </c>
      <c r="B20" s="118">
        <f t="shared" si="4"/>
        <v>2010</v>
      </c>
      <c r="C20" s="118">
        <f t="shared" ref="C20:D26" si="7">C19</f>
        <v>20</v>
      </c>
      <c r="D20" s="124">
        <f t="shared" si="7"/>
        <v>5</v>
      </c>
      <c r="E20" s="831">
        <f>E13/80*20</f>
        <v>1650000</v>
      </c>
      <c r="F20" s="832">
        <f t="shared" si="5"/>
        <v>82500</v>
      </c>
      <c r="G20" s="830"/>
      <c r="H20" s="832"/>
      <c r="I20" s="832">
        <f t="shared" si="6"/>
        <v>20625</v>
      </c>
      <c r="J20" s="832"/>
      <c r="K20" s="833"/>
      <c r="L20" s="107"/>
    </row>
    <row r="21" spans="1:14" s="108" customFormat="1" ht="13.8">
      <c r="A21" s="117" t="str">
        <f t="shared" si="4"/>
        <v>Umbau Gruppen</v>
      </c>
      <c r="B21" s="118">
        <f t="shared" si="4"/>
        <v>2012</v>
      </c>
      <c r="C21" s="118">
        <f t="shared" si="7"/>
        <v>20</v>
      </c>
      <c r="D21" s="124">
        <f t="shared" si="7"/>
        <v>5</v>
      </c>
      <c r="E21" s="831">
        <f>E14/80*20</f>
        <v>250000</v>
      </c>
      <c r="F21" s="832">
        <f t="shared" si="5"/>
        <v>12500</v>
      </c>
      <c r="G21" s="833"/>
      <c r="H21" s="832"/>
      <c r="I21" s="832">
        <f t="shared" si="6"/>
        <v>3125</v>
      </c>
      <c r="J21" s="832"/>
      <c r="K21" s="833"/>
      <c r="L21" s="107"/>
    </row>
    <row r="22" spans="1:14" s="108" customFormat="1" ht="13.8">
      <c r="A22" s="117" t="str">
        <f t="shared" si="4"/>
        <v>Trakt 5</v>
      </c>
      <c r="B22" s="118">
        <f t="shared" si="4"/>
        <v>2021</v>
      </c>
      <c r="C22" s="118">
        <f t="shared" si="7"/>
        <v>20</v>
      </c>
      <c r="D22" s="124">
        <f t="shared" si="7"/>
        <v>5</v>
      </c>
      <c r="E22" s="833">
        <v>700000</v>
      </c>
      <c r="F22" s="832">
        <f t="shared" si="5"/>
        <v>35000</v>
      </c>
      <c r="G22" s="833"/>
      <c r="H22" s="832"/>
      <c r="I22" s="832">
        <f t="shared" si="6"/>
        <v>8750</v>
      </c>
      <c r="J22" s="832"/>
      <c r="K22" s="833"/>
      <c r="L22" s="107"/>
    </row>
    <row r="23" spans="1:14" s="108" customFormat="1" ht="13.8">
      <c r="A23" s="365"/>
      <c r="B23" s="361"/>
      <c r="C23" s="118">
        <f t="shared" si="7"/>
        <v>20</v>
      </c>
      <c r="D23" s="124">
        <f t="shared" si="7"/>
        <v>5</v>
      </c>
      <c r="E23" s="833"/>
      <c r="F23" s="832">
        <f t="shared" si="5"/>
        <v>0</v>
      </c>
      <c r="G23" s="833"/>
      <c r="H23" s="832"/>
      <c r="I23" s="832">
        <f t="shared" si="6"/>
        <v>0</v>
      </c>
      <c r="J23" s="832"/>
      <c r="K23" s="833"/>
      <c r="L23" s="107"/>
    </row>
    <row r="24" spans="1:14" s="108" customFormat="1" ht="13.8">
      <c r="A24" s="365"/>
      <c r="B24" s="361"/>
      <c r="C24" s="118">
        <f t="shared" si="7"/>
        <v>20</v>
      </c>
      <c r="D24" s="124">
        <f t="shared" si="7"/>
        <v>5</v>
      </c>
      <c r="E24" s="833"/>
      <c r="F24" s="832">
        <f t="shared" si="5"/>
        <v>0</v>
      </c>
      <c r="G24" s="833"/>
      <c r="H24" s="832"/>
      <c r="I24" s="832">
        <f t="shared" si="6"/>
        <v>0</v>
      </c>
      <c r="J24" s="832"/>
      <c r="K24" s="833"/>
      <c r="L24" s="107"/>
    </row>
    <row r="25" spans="1:14" s="108" customFormat="1" ht="13.8">
      <c r="A25" s="365"/>
      <c r="B25" s="361"/>
      <c r="C25" s="118">
        <f t="shared" si="7"/>
        <v>20</v>
      </c>
      <c r="D25" s="124">
        <f t="shared" si="7"/>
        <v>5</v>
      </c>
      <c r="E25" s="833"/>
      <c r="F25" s="832">
        <f t="shared" si="5"/>
        <v>0</v>
      </c>
      <c r="G25" s="833"/>
      <c r="H25" s="832"/>
      <c r="I25" s="832">
        <f t="shared" si="6"/>
        <v>0</v>
      </c>
      <c r="J25" s="832"/>
      <c r="K25" s="833"/>
      <c r="L25" s="107"/>
    </row>
    <row r="26" spans="1:14" s="108" customFormat="1" ht="13.8">
      <c r="A26" s="117" t="s">
        <v>337</v>
      </c>
      <c r="B26" s="118">
        <f>B3</f>
        <v>2024</v>
      </c>
      <c r="C26" s="118">
        <f t="shared" si="7"/>
        <v>20</v>
      </c>
      <c r="D26" s="124">
        <f t="shared" si="7"/>
        <v>5</v>
      </c>
      <c r="E26" s="833"/>
      <c r="F26" s="832">
        <f t="shared" si="5"/>
        <v>0</v>
      </c>
      <c r="G26" s="832">
        <f>IF($B$3-B26&gt;C26,0,E26*D26/100)</f>
        <v>0</v>
      </c>
      <c r="H26" s="832"/>
      <c r="I26" s="832">
        <f t="shared" si="6"/>
        <v>0</v>
      </c>
      <c r="J26" s="832"/>
      <c r="K26" s="833"/>
      <c r="L26" s="107"/>
    </row>
    <row r="27" spans="1:14" s="108" customFormat="1" ht="13.8">
      <c r="A27" s="119" t="s">
        <v>197</v>
      </c>
      <c r="B27" s="120"/>
      <c r="C27" s="120"/>
      <c r="D27" s="121"/>
      <c r="E27" s="834">
        <f>SUM(E19:E26)</f>
        <v>7200000</v>
      </c>
      <c r="F27" s="834">
        <f>SUM(F19:F26)</f>
        <v>360000</v>
      </c>
      <c r="G27" s="834">
        <f>SUM(G19:G26)</f>
        <v>0</v>
      </c>
      <c r="H27" s="834"/>
      <c r="I27" s="834">
        <f>SUM(I19:I26)</f>
        <v>90000</v>
      </c>
      <c r="J27" s="834"/>
      <c r="K27" s="834">
        <f>SUM(K19:K26)</f>
        <v>0</v>
      </c>
      <c r="L27" s="107"/>
    </row>
    <row r="28" spans="1:14" ht="30.75" customHeight="1">
      <c r="A28" s="14" t="s">
        <v>101</v>
      </c>
      <c r="B28" s="7"/>
      <c r="C28" s="7"/>
      <c r="D28" s="7"/>
      <c r="E28" s="835"/>
      <c r="F28" s="835"/>
      <c r="G28" s="835"/>
      <c r="H28" s="835"/>
      <c r="I28" s="835"/>
      <c r="J28" s="835"/>
      <c r="K28" s="835"/>
      <c r="L28" s="6"/>
    </row>
    <row r="29" spans="1:14" s="108" customFormat="1" ht="13.8">
      <c r="A29" s="115" t="s">
        <v>102</v>
      </c>
      <c r="B29" s="116"/>
      <c r="C29" s="116"/>
      <c r="D29" s="116"/>
      <c r="E29" s="831"/>
      <c r="F29" s="831"/>
      <c r="G29" s="831"/>
      <c r="H29" s="831"/>
      <c r="I29" s="831"/>
      <c r="J29" s="831"/>
      <c r="K29" s="830"/>
      <c r="L29" s="107"/>
    </row>
    <row r="30" spans="1:14" s="108" customFormat="1" ht="13.8">
      <c r="A30" s="115" t="s">
        <v>103</v>
      </c>
      <c r="B30" s="116"/>
      <c r="C30" s="116"/>
      <c r="D30" s="116"/>
      <c r="E30" s="831"/>
      <c r="F30" s="831"/>
      <c r="G30" s="831"/>
      <c r="H30" s="831"/>
      <c r="I30" s="831"/>
      <c r="J30" s="831"/>
      <c r="K30" s="830"/>
      <c r="L30" s="107"/>
    </row>
    <row r="31" spans="1:14" s="108" customFormat="1" ht="13.8">
      <c r="A31" s="117" t="str">
        <f>"Summe Anlagen älter als "&amp;C32&amp;" Jahre"</f>
        <v>Summe Anlagen älter als 10 Jahre</v>
      </c>
      <c r="B31" s="125" t="str">
        <f>"&lt;= "&amp;B41-C32</f>
        <v>&lt;= 2014</v>
      </c>
      <c r="C31" s="118"/>
      <c r="D31" s="118"/>
      <c r="E31" s="836"/>
      <c r="F31" s="832"/>
      <c r="G31" s="836"/>
      <c r="H31" s="832"/>
      <c r="I31" s="832"/>
      <c r="J31" s="834"/>
      <c r="K31" s="834"/>
      <c r="L31" s="107"/>
    </row>
    <row r="32" spans="1:14" s="108" customFormat="1" ht="13.8">
      <c r="A32" s="117" t="s">
        <v>104</v>
      </c>
      <c r="B32" s="118">
        <f t="shared" ref="B32:B40" si="8">IF($B$3-$C$32&lt;=B33-1,B33-1,0)</f>
        <v>2015</v>
      </c>
      <c r="C32" s="511">
        <v>10</v>
      </c>
      <c r="D32" s="124">
        <f t="shared" ref="D32" si="9">100/C32</f>
        <v>10</v>
      </c>
      <c r="E32" s="833">
        <v>24000</v>
      </c>
      <c r="F32" s="832">
        <f t="shared" ref="F32:F41" si="10">IF($B$3-B32&gt;C32,0,E32*D32/100)</f>
        <v>2400</v>
      </c>
      <c r="G32" s="833"/>
      <c r="H32" s="832"/>
      <c r="I32" s="832">
        <f t="shared" ref="I32:I41" si="11">IF($B$3-B32&gt;C32,0,E32*$I$5/2)</f>
        <v>300</v>
      </c>
      <c r="J32" s="837"/>
      <c r="K32" s="837"/>
      <c r="L32" s="107"/>
    </row>
    <row r="33" spans="1:12" s="108" customFormat="1" ht="13.8">
      <c r="A33" s="127"/>
      <c r="B33" s="118">
        <f t="shared" si="8"/>
        <v>2016</v>
      </c>
      <c r="C33" s="118">
        <f t="shared" ref="C33:D41" si="12">C32</f>
        <v>10</v>
      </c>
      <c r="D33" s="124">
        <f t="shared" si="12"/>
        <v>10</v>
      </c>
      <c r="E33" s="833">
        <v>40000</v>
      </c>
      <c r="F33" s="832">
        <f t="shared" si="10"/>
        <v>4000</v>
      </c>
      <c r="G33" s="833"/>
      <c r="H33" s="832"/>
      <c r="I33" s="832">
        <f t="shared" si="11"/>
        <v>500</v>
      </c>
      <c r="J33" s="837"/>
      <c r="K33" s="837"/>
      <c r="L33" s="107"/>
    </row>
    <row r="34" spans="1:12" s="108" customFormat="1" ht="13.8">
      <c r="A34" s="127"/>
      <c r="B34" s="118">
        <f t="shared" si="8"/>
        <v>2017</v>
      </c>
      <c r="C34" s="118">
        <f t="shared" si="12"/>
        <v>10</v>
      </c>
      <c r="D34" s="124">
        <f t="shared" si="12"/>
        <v>10</v>
      </c>
      <c r="E34" s="833">
        <v>80000</v>
      </c>
      <c r="F34" s="832">
        <f t="shared" si="10"/>
        <v>8000</v>
      </c>
      <c r="G34" s="833"/>
      <c r="H34" s="832"/>
      <c r="I34" s="832">
        <f t="shared" si="11"/>
        <v>1000</v>
      </c>
      <c r="J34" s="837"/>
      <c r="K34" s="837"/>
      <c r="L34" s="107"/>
    </row>
    <row r="35" spans="1:12" s="108" customFormat="1" ht="13.8">
      <c r="A35" s="127"/>
      <c r="B35" s="118">
        <f t="shared" si="8"/>
        <v>2018</v>
      </c>
      <c r="C35" s="118">
        <f>C34</f>
        <v>10</v>
      </c>
      <c r="D35" s="124">
        <f>D34</f>
        <v>10</v>
      </c>
      <c r="E35" s="833">
        <v>120000</v>
      </c>
      <c r="F35" s="832">
        <f t="shared" si="10"/>
        <v>12000</v>
      </c>
      <c r="G35" s="833"/>
      <c r="H35" s="832"/>
      <c r="I35" s="832">
        <f t="shared" si="11"/>
        <v>1500</v>
      </c>
      <c r="J35" s="837"/>
      <c r="K35" s="837"/>
      <c r="L35" s="107"/>
    </row>
    <row r="36" spans="1:12" s="108" customFormat="1" ht="13.8">
      <c r="A36" s="127"/>
      <c r="B36" s="118">
        <f t="shared" si="8"/>
        <v>2019</v>
      </c>
      <c r="C36" s="118">
        <f t="shared" si="12"/>
        <v>10</v>
      </c>
      <c r="D36" s="124">
        <f t="shared" si="12"/>
        <v>10</v>
      </c>
      <c r="E36" s="833">
        <v>120000</v>
      </c>
      <c r="F36" s="832">
        <f t="shared" si="10"/>
        <v>12000</v>
      </c>
      <c r="G36" s="833"/>
      <c r="H36" s="832"/>
      <c r="I36" s="832">
        <f t="shared" si="11"/>
        <v>1500</v>
      </c>
      <c r="J36" s="837"/>
      <c r="K36" s="837"/>
      <c r="L36" s="107"/>
    </row>
    <row r="37" spans="1:12" s="108" customFormat="1" ht="13.8">
      <c r="A37" s="127"/>
      <c r="B37" s="118">
        <f t="shared" si="8"/>
        <v>2020</v>
      </c>
      <c r="C37" s="118">
        <f t="shared" si="12"/>
        <v>10</v>
      </c>
      <c r="D37" s="124">
        <f t="shared" si="12"/>
        <v>10</v>
      </c>
      <c r="E37" s="833">
        <v>120000</v>
      </c>
      <c r="F37" s="832">
        <f t="shared" si="10"/>
        <v>12000</v>
      </c>
      <c r="G37" s="833"/>
      <c r="H37" s="832"/>
      <c r="I37" s="832">
        <f t="shared" si="11"/>
        <v>1500</v>
      </c>
      <c r="J37" s="837"/>
      <c r="K37" s="837"/>
      <c r="L37" s="107"/>
    </row>
    <row r="38" spans="1:12" s="108" customFormat="1" ht="13.8">
      <c r="A38" s="127"/>
      <c r="B38" s="118">
        <f t="shared" si="8"/>
        <v>2021</v>
      </c>
      <c r="C38" s="118">
        <f t="shared" si="12"/>
        <v>10</v>
      </c>
      <c r="D38" s="124">
        <f t="shared" si="12"/>
        <v>10</v>
      </c>
      <c r="E38" s="833">
        <v>50000</v>
      </c>
      <c r="F38" s="832">
        <f t="shared" si="10"/>
        <v>5000</v>
      </c>
      <c r="G38" s="833"/>
      <c r="H38" s="832"/>
      <c r="I38" s="832">
        <f t="shared" si="11"/>
        <v>625</v>
      </c>
      <c r="J38" s="837"/>
      <c r="K38" s="837"/>
      <c r="L38" s="107"/>
    </row>
    <row r="39" spans="1:12" s="108" customFormat="1" ht="13.8">
      <c r="A39" s="127"/>
      <c r="B39" s="118">
        <f t="shared" si="8"/>
        <v>2022</v>
      </c>
      <c r="C39" s="118">
        <f t="shared" si="12"/>
        <v>10</v>
      </c>
      <c r="D39" s="124">
        <f t="shared" si="12"/>
        <v>10</v>
      </c>
      <c r="E39" s="833">
        <v>85000</v>
      </c>
      <c r="F39" s="832">
        <f t="shared" si="10"/>
        <v>8500</v>
      </c>
      <c r="G39" s="833"/>
      <c r="H39" s="832"/>
      <c r="I39" s="832">
        <f t="shared" si="11"/>
        <v>1062.5</v>
      </c>
      <c r="J39" s="837"/>
      <c r="K39" s="837"/>
      <c r="L39" s="107"/>
    </row>
    <row r="40" spans="1:12" s="108" customFormat="1" ht="13.8">
      <c r="A40" s="115"/>
      <c r="B40" s="118">
        <f t="shared" si="8"/>
        <v>2023</v>
      </c>
      <c r="C40" s="118">
        <f t="shared" si="12"/>
        <v>10</v>
      </c>
      <c r="D40" s="124">
        <f t="shared" si="12"/>
        <v>10</v>
      </c>
      <c r="E40" s="833">
        <v>240000</v>
      </c>
      <c r="F40" s="832">
        <f t="shared" si="10"/>
        <v>24000</v>
      </c>
      <c r="G40" s="833"/>
      <c r="H40" s="832"/>
      <c r="I40" s="832">
        <f t="shared" si="11"/>
        <v>3000</v>
      </c>
      <c r="J40" s="837"/>
      <c r="K40" s="837"/>
      <c r="L40" s="107"/>
    </row>
    <row r="41" spans="1:12" s="108" customFormat="1" ht="13.8">
      <c r="A41" s="117" t="s">
        <v>337</v>
      </c>
      <c r="B41" s="120">
        <f>$B$3</f>
        <v>2024</v>
      </c>
      <c r="C41" s="120">
        <f t="shared" si="12"/>
        <v>10</v>
      </c>
      <c r="D41" s="121">
        <f t="shared" si="12"/>
        <v>10</v>
      </c>
      <c r="E41" s="833">
        <v>40000</v>
      </c>
      <c r="F41" s="834">
        <f t="shared" si="10"/>
        <v>4000</v>
      </c>
      <c r="G41" s="838"/>
      <c r="H41" s="834"/>
      <c r="I41" s="834">
        <f t="shared" si="11"/>
        <v>500</v>
      </c>
      <c r="J41" s="837"/>
      <c r="K41" s="839"/>
      <c r="L41" s="107"/>
    </row>
    <row r="42" spans="1:12" s="108" customFormat="1" ht="13.8">
      <c r="A42" s="128" t="s">
        <v>198</v>
      </c>
      <c r="B42" s="112"/>
      <c r="C42" s="112"/>
      <c r="D42" s="129"/>
      <c r="E42" s="840">
        <f>SUM(E32:E41)</f>
        <v>919000</v>
      </c>
      <c r="F42" s="840">
        <f>SUM(F31:F41)</f>
        <v>91900</v>
      </c>
      <c r="G42" s="840">
        <f>SUM(G32:G41)</f>
        <v>0</v>
      </c>
      <c r="H42" s="840"/>
      <c r="I42" s="840">
        <f>SUM(I31:I41)</f>
        <v>11487.5</v>
      </c>
      <c r="J42" s="840"/>
      <c r="K42" s="840">
        <f>SUM(K29:K30)</f>
        <v>0</v>
      </c>
      <c r="L42" s="107"/>
    </row>
    <row r="43" spans="1:12" s="12" customFormat="1" ht="46.8">
      <c r="A43" s="14" t="s">
        <v>114</v>
      </c>
      <c r="B43" s="16"/>
      <c r="C43" s="16"/>
      <c r="D43" s="16"/>
      <c r="E43" s="841"/>
      <c r="F43" s="841"/>
      <c r="G43" s="841"/>
      <c r="H43" s="841"/>
      <c r="I43" s="841"/>
      <c r="J43" s="841"/>
      <c r="K43" s="841"/>
      <c r="L43" s="15"/>
    </row>
    <row r="44" spans="1:12" s="108" customFormat="1" ht="13.8">
      <c r="A44" s="115" t="str">
        <f>"Summe Anlagen älter als "&amp;C45&amp;" Jahre"</f>
        <v>Summe Anlagen älter als 4 Jahre</v>
      </c>
      <c r="B44" s="130" t="str">
        <f>"&lt;= "&amp;B48-C45</f>
        <v>&lt;= 2020</v>
      </c>
      <c r="C44" s="116"/>
      <c r="D44" s="116"/>
      <c r="E44" s="842">
        <v>10000</v>
      </c>
      <c r="F44" s="831"/>
      <c r="G44" s="842"/>
      <c r="H44" s="831"/>
      <c r="I44" s="831"/>
      <c r="J44" s="837"/>
      <c r="K44" s="837"/>
      <c r="L44" s="107"/>
    </row>
    <row r="45" spans="1:12" s="108" customFormat="1" ht="13.8">
      <c r="A45" s="117" t="s">
        <v>104</v>
      </c>
      <c r="B45" s="118">
        <f>IF($B$3-$C$45&lt;=B48-1,B46-1,0)</f>
        <v>2021</v>
      </c>
      <c r="C45" s="126">
        <v>4</v>
      </c>
      <c r="D45" s="124">
        <f t="shared" ref="D45" si="13">100/C45</f>
        <v>25</v>
      </c>
      <c r="E45" s="833">
        <v>25000</v>
      </c>
      <c r="F45" s="832">
        <f t="shared" ref="F45:F48" si="14">IF($B$3-B45&gt;C45,0,E45*D45/100)</f>
        <v>6250</v>
      </c>
      <c r="G45" s="833"/>
      <c r="H45" s="832"/>
      <c r="I45" s="832">
        <f>IF($B$3-B45&gt;C45,0,E45*$I$5/2)</f>
        <v>312.5</v>
      </c>
      <c r="J45" s="837"/>
      <c r="K45" s="837"/>
      <c r="L45" s="107"/>
    </row>
    <row r="46" spans="1:12" s="108" customFormat="1" ht="13.8">
      <c r="A46" s="127"/>
      <c r="B46" s="118">
        <f>IF($B$3-$C$45&lt;=B47-1,B47-1,0)</f>
        <v>2022</v>
      </c>
      <c r="C46" s="118">
        <f t="shared" ref="C46:D48" si="15">C45</f>
        <v>4</v>
      </c>
      <c r="D46" s="124">
        <f t="shared" si="15"/>
        <v>25</v>
      </c>
      <c r="E46" s="833">
        <v>70000</v>
      </c>
      <c r="F46" s="832">
        <f t="shared" si="14"/>
        <v>17500</v>
      </c>
      <c r="G46" s="833"/>
      <c r="H46" s="832"/>
      <c r="I46" s="832">
        <f>IF($B$3-B46&gt;C46,0,E46*$I$5/2)</f>
        <v>875</v>
      </c>
      <c r="J46" s="837"/>
      <c r="K46" s="837"/>
      <c r="L46" s="107"/>
    </row>
    <row r="47" spans="1:12" s="108" customFormat="1" ht="13.8">
      <c r="A47" s="115"/>
      <c r="B47" s="118">
        <f>IF($B$3-$C$45&lt;=B48-1,B48-1,0)</f>
        <v>2023</v>
      </c>
      <c r="C47" s="118">
        <f t="shared" si="15"/>
        <v>4</v>
      </c>
      <c r="D47" s="124">
        <f t="shared" si="15"/>
        <v>25</v>
      </c>
      <c r="E47" s="833">
        <v>20000</v>
      </c>
      <c r="F47" s="832">
        <f t="shared" si="14"/>
        <v>5000</v>
      </c>
      <c r="G47" s="833"/>
      <c r="H47" s="832"/>
      <c r="I47" s="832">
        <f>IF($B$3-B47&gt;C47,0,E47*$I$5/2)</f>
        <v>250</v>
      </c>
      <c r="J47" s="837"/>
      <c r="K47" s="837"/>
      <c r="L47" s="107"/>
    </row>
    <row r="48" spans="1:12" s="108" customFormat="1" ht="13.8">
      <c r="A48" s="117" t="s">
        <v>337</v>
      </c>
      <c r="B48" s="120">
        <f>$B$3</f>
        <v>2024</v>
      </c>
      <c r="C48" s="120">
        <f t="shared" si="15"/>
        <v>4</v>
      </c>
      <c r="D48" s="121">
        <f t="shared" si="15"/>
        <v>25</v>
      </c>
      <c r="E48" s="838">
        <v>20000</v>
      </c>
      <c r="F48" s="834">
        <f t="shared" si="14"/>
        <v>5000</v>
      </c>
      <c r="G48" s="838"/>
      <c r="H48" s="834"/>
      <c r="I48" s="834">
        <f>IF($B$3-B48&gt;C48,0,E48*$I$5/2)</f>
        <v>250</v>
      </c>
      <c r="J48" s="837"/>
      <c r="K48" s="837"/>
      <c r="L48" s="107"/>
    </row>
    <row r="49" spans="1:16" s="108" customFormat="1" ht="13.8">
      <c r="A49" s="128" t="s">
        <v>199</v>
      </c>
      <c r="B49" s="112"/>
      <c r="C49" s="112"/>
      <c r="D49" s="129"/>
      <c r="E49" s="840">
        <f>SUM(E45:E48)</f>
        <v>135000</v>
      </c>
      <c r="F49" s="840">
        <f>SUM(F44:F48)</f>
        <v>33750</v>
      </c>
      <c r="G49" s="840">
        <f>SUM(G45:G48)</f>
        <v>0</v>
      </c>
      <c r="H49" s="840"/>
      <c r="I49" s="840">
        <f>SUM(I44:I48)</f>
        <v>1687.5</v>
      </c>
      <c r="J49" s="837"/>
      <c r="K49" s="837"/>
      <c r="L49" s="107"/>
    </row>
    <row r="50" spans="1:16" s="108" customFormat="1" ht="13.8">
      <c r="A50" s="131"/>
      <c r="B50" s="132"/>
      <c r="C50" s="132"/>
      <c r="D50" s="132"/>
      <c r="E50" s="837"/>
      <c r="F50" s="837"/>
      <c r="G50" s="837"/>
      <c r="H50" s="837"/>
      <c r="I50" s="837"/>
      <c r="J50" s="837"/>
      <c r="K50" s="837"/>
      <c r="L50" s="107"/>
    </row>
    <row r="51" spans="1:16" s="108" customFormat="1" ht="14.4" thickBot="1">
      <c r="A51" s="106" t="s">
        <v>105</v>
      </c>
      <c r="B51" s="133"/>
      <c r="C51" s="133"/>
      <c r="D51" s="133"/>
      <c r="E51" s="843">
        <f>E49+E42+E27+E17+E10</f>
        <v>35754000</v>
      </c>
      <c r="F51" s="844"/>
      <c r="G51" s="844"/>
      <c r="H51" s="844"/>
      <c r="I51" s="844"/>
      <c r="J51" s="844"/>
      <c r="K51" s="844"/>
      <c r="L51" s="107"/>
    </row>
    <row r="52" spans="1:16" s="108" customFormat="1" thickTop="1" thickBot="1">
      <c r="A52" s="131" t="s">
        <v>299</v>
      </c>
      <c r="B52" s="132"/>
      <c r="C52" s="132"/>
      <c r="D52" s="132"/>
      <c r="E52" s="837"/>
      <c r="F52" s="843">
        <f>F49+F42+F27+F17+F10</f>
        <v>1318983.3333333333</v>
      </c>
      <c r="G52" s="837"/>
      <c r="H52" s="837"/>
      <c r="I52" s="837">
        <f>I49+I42+I27+I17+I10</f>
        <v>446925</v>
      </c>
      <c r="J52" s="837"/>
      <c r="K52" s="837">
        <f>K49+K42+K27+K17+K10</f>
        <v>0</v>
      </c>
      <c r="L52" s="107"/>
    </row>
    <row r="53" spans="1:16" s="108" customFormat="1" thickTop="1" thickBot="1">
      <c r="A53" s="131" t="s">
        <v>106</v>
      </c>
      <c r="B53" s="132"/>
      <c r="C53" s="132"/>
      <c r="D53" s="132"/>
      <c r="E53" s="837"/>
      <c r="F53" s="837"/>
      <c r="G53" s="843">
        <f>G49+G42+G27+G17+G10</f>
        <v>0</v>
      </c>
      <c r="H53" s="837"/>
      <c r="I53" s="845"/>
      <c r="J53" s="837"/>
      <c r="K53" s="837"/>
      <c r="L53" s="107"/>
      <c r="M53" s="134"/>
      <c r="N53" s="134"/>
      <c r="O53" s="134"/>
      <c r="P53" s="134"/>
    </row>
    <row r="54" spans="1:16" s="108" customFormat="1" ht="14.4" thickTop="1">
      <c r="A54" s="135" t="s">
        <v>107</v>
      </c>
      <c r="B54" s="136"/>
      <c r="C54" s="136"/>
      <c r="D54" s="136"/>
      <c r="E54" s="839"/>
      <c r="F54" s="934">
        <f>F52-G53</f>
        <v>1318983.3333333333</v>
      </c>
      <c r="G54" s="934"/>
      <c r="H54" s="839"/>
      <c r="I54" s="839">
        <f>I52-I53</f>
        <v>446925</v>
      </c>
      <c r="J54" s="839"/>
      <c r="K54" s="839">
        <f>K52-K53</f>
        <v>0</v>
      </c>
      <c r="L54" s="107"/>
    </row>
    <row r="55" spans="1:16" ht="27.75" customHeight="1" thickBot="1">
      <c r="E55" s="846"/>
      <c r="F55" s="846"/>
      <c r="G55" s="846"/>
      <c r="H55" s="846"/>
      <c r="I55" s="846"/>
      <c r="J55" s="846"/>
      <c r="K55" s="846"/>
    </row>
    <row r="56" spans="1:16" s="12" customFormat="1" ht="18" customHeight="1" thickBot="1">
      <c r="A56" s="11" t="s">
        <v>159</v>
      </c>
      <c r="B56" s="849">
        <f>K56+I56+F56</f>
        <v>1765908.3333333333</v>
      </c>
      <c r="E56" s="847" t="s">
        <v>115</v>
      </c>
      <c r="F56" s="841">
        <f>F52</f>
        <v>1318983.3333333333</v>
      </c>
      <c r="G56" s="848"/>
      <c r="H56" s="847" t="s">
        <v>58</v>
      </c>
      <c r="I56" s="841">
        <f>I52</f>
        <v>446925</v>
      </c>
      <c r="J56" s="848"/>
      <c r="K56" s="841">
        <f>K52</f>
        <v>0</v>
      </c>
    </row>
  </sheetData>
  <sheetProtection algorithmName="SHA-512" hashValue="/gF9/h3jA4SqGypKDYgvPjRw+0vwYXFU0EODBSN/FvVuZGb/PscW58PLnD9yYWAzHNgcNC9XdD/c9bdObHqIBg==" saltValue="DdLP5zez+KR/WetqTkzXHw==" spinCount="100000" sheet="1" objects="1" scenarios="1"/>
  <mergeCells count="1">
    <mergeCell ref="F54:G54"/>
  </mergeCells>
  <pageMargins left="0.39370078740157483" right="0.39370078740157483" top="0.39370078740157483" bottom="0.22352941176470589" header="0.51181102362204722" footer="0.51181102362204722"/>
  <pageSetup paperSize="9" scale="57" orientation="landscape" horizontalDpi="1200" verticalDpi="1200" r:id="rId1"/>
  <ignoredErrors>
    <ignoredError sqref="B3" unlockedFormula="1"/>
  </ignoredError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96E2A4"/>
    <pageSetUpPr fitToPage="1"/>
  </sheetPr>
  <dimension ref="A1:M77"/>
  <sheetViews>
    <sheetView zoomScaleNormal="100" workbookViewId="0">
      <selection activeCell="D66" sqref="D66"/>
    </sheetView>
  </sheetViews>
  <sheetFormatPr baseColWidth="10" defaultColWidth="11" defaultRowHeight="13.8"/>
  <cols>
    <col min="1" max="1" width="19" style="284" customWidth="1"/>
    <col min="2" max="2" width="5" style="284" customWidth="1"/>
    <col min="3" max="3" width="5.19921875" style="284" customWidth="1"/>
    <col min="4" max="4" width="15.09765625" style="284" customWidth="1"/>
    <col min="5" max="5" width="14" style="284" customWidth="1"/>
    <col min="6" max="6" width="20.09765625" style="284" customWidth="1"/>
    <col min="7" max="7" width="22.09765625" style="284" customWidth="1"/>
    <col min="8" max="8" width="19.59765625" style="284" customWidth="1"/>
    <col min="9" max="16384" width="11" style="284"/>
  </cols>
  <sheetData>
    <row r="1" spans="1:13" s="280" customFormat="1" ht="25.5" customHeight="1">
      <c r="A1" s="276" t="s">
        <v>69</v>
      </c>
      <c r="B1" s="277"/>
      <c r="C1" s="277"/>
      <c r="D1" s="278"/>
      <c r="E1" s="278"/>
      <c r="F1" s="278" t="s">
        <v>151</v>
      </c>
      <c r="G1" s="369" t="str">
        <f>'Pflegetaxe Budget'!G1</f>
        <v>SCHULUNG</v>
      </c>
      <c r="H1" s="279">
        <f>'Pflegetaxe Budget'!I1</f>
        <v>2024</v>
      </c>
    </row>
    <row r="2" spans="1:13" ht="18" customHeight="1">
      <c r="A2" s="281"/>
      <c r="B2" s="282"/>
      <c r="C2" s="282"/>
      <c r="D2" s="282"/>
      <c r="E2" s="282"/>
      <c r="F2" s="282"/>
      <c r="G2" s="282"/>
      <c r="H2" s="283"/>
    </row>
    <row r="3" spans="1:13" ht="14.4" thickBot="1">
      <c r="A3" s="285" t="s">
        <v>338</v>
      </c>
      <c r="B3" s="286"/>
      <c r="C3" s="286"/>
      <c r="D3" s="287" t="s">
        <v>225</v>
      </c>
      <c r="E3" s="377">
        <v>120</v>
      </c>
      <c r="F3" s="287" t="s">
        <v>224</v>
      </c>
      <c r="G3" s="343">
        <f>IF(ISERROR(H3/(E3*'Pflegetaxe Budget'!B4)),"",H3/(E3*'Pflegetaxe Budget'!B4))</f>
        <v>0.99246575342465748</v>
      </c>
      <c r="H3" s="344">
        <f>'Pflegetaxe Budget'!D29</f>
        <v>43470</v>
      </c>
    </row>
    <row r="4" spans="1:13" ht="14.4" thickBot="1">
      <c r="A4" s="288"/>
      <c r="B4" s="289"/>
      <c r="C4" s="290"/>
      <c r="D4" s="290"/>
      <c r="E4" s="290"/>
      <c r="F4" s="290"/>
      <c r="G4" s="290"/>
      <c r="H4" s="291"/>
    </row>
    <row r="5" spans="1:13" ht="18.75" customHeight="1" thickBot="1">
      <c r="A5" s="935" t="s">
        <v>70</v>
      </c>
      <c r="B5" s="936"/>
      <c r="C5" s="937"/>
      <c r="D5" s="292"/>
      <c r="E5" s="292"/>
      <c r="F5" s="292"/>
      <c r="G5" s="292"/>
      <c r="H5" s="293"/>
      <c r="J5" s="294"/>
      <c r="L5" s="294"/>
    </row>
    <row r="6" spans="1:13">
      <c r="A6" s="295"/>
      <c r="B6" s="296"/>
      <c r="C6" s="296"/>
      <c r="D6" s="296"/>
      <c r="E6" s="296"/>
      <c r="F6" s="296" t="s">
        <v>240</v>
      </c>
      <c r="G6" s="296"/>
      <c r="H6" s="299" t="s">
        <v>71</v>
      </c>
    </row>
    <row r="7" spans="1:13" ht="14.4">
      <c r="A7" s="300" t="s">
        <v>59</v>
      </c>
      <c r="B7" s="301"/>
      <c r="C7" s="301"/>
      <c r="D7" s="301"/>
      <c r="E7" s="302"/>
      <c r="F7" s="468"/>
      <c r="G7" s="468"/>
      <c r="H7" s="824">
        <v>476000</v>
      </c>
    </row>
    <row r="8" spans="1:13" ht="14.4">
      <c r="A8" s="300" t="s">
        <v>127</v>
      </c>
      <c r="B8" s="301"/>
      <c r="C8" s="301"/>
      <c r="D8" s="301"/>
      <c r="E8" s="302"/>
      <c r="F8" s="468"/>
      <c r="G8" s="468"/>
      <c r="H8" s="824">
        <v>1035000</v>
      </c>
    </row>
    <row r="9" spans="1:13" ht="14.4">
      <c r="A9" s="300" t="s">
        <v>62</v>
      </c>
      <c r="B9" s="301"/>
      <c r="C9" s="301"/>
      <c r="D9" s="301"/>
      <c r="E9" s="302"/>
      <c r="F9" s="468"/>
      <c r="G9" s="468"/>
      <c r="H9" s="824">
        <v>1067000</v>
      </c>
    </row>
    <row r="10" spans="1:13" ht="14.4">
      <c r="A10" s="300" t="s">
        <v>60</v>
      </c>
      <c r="B10" s="301"/>
      <c r="C10" s="301"/>
      <c r="D10" s="301"/>
      <c r="E10" s="302"/>
      <c r="F10" s="468"/>
      <c r="G10" s="468"/>
      <c r="H10" s="824">
        <v>445000</v>
      </c>
    </row>
    <row r="11" spans="1:13" ht="14.4">
      <c r="A11" s="303" t="s">
        <v>72</v>
      </c>
      <c r="B11" s="304"/>
      <c r="C11" s="304"/>
      <c r="D11" s="304"/>
      <c r="E11" s="305"/>
      <c r="F11" s="469"/>
      <c r="G11" s="469"/>
      <c r="H11" s="850">
        <v>187000</v>
      </c>
    </row>
    <row r="12" spans="1:13" ht="14.4">
      <c r="A12" s="701"/>
      <c r="B12" s="702" t="s">
        <v>306</v>
      </c>
      <c r="C12" s="378"/>
      <c r="D12" s="378"/>
      <c r="E12" s="305"/>
      <c r="F12" s="469"/>
      <c r="G12" s="469"/>
      <c r="H12" s="850"/>
    </row>
    <row r="13" spans="1:13" ht="15" thickBot="1">
      <c r="A13" s="303" t="s">
        <v>154</v>
      </c>
      <c r="B13" s="304"/>
      <c r="C13" s="304"/>
      <c r="D13" s="304"/>
      <c r="E13" s="305"/>
      <c r="F13" s="469"/>
      <c r="G13" s="469"/>
      <c r="H13" s="850">
        <v>267000</v>
      </c>
    </row>
    <row r="14" spans="1:13" ht="18.75" customHeight="1" thickBot="1">
      <c r="A14" s="307" t="s">
        <v>73</v>
      </c>
      <c r="B14" s="308"/>
      <c r="C14" s="308"/>
      <c r="D14" s="308"/>
      <c r="E14" s="308"/>
      <c r="F14" s="309"/>
      <c r="G14" s="310">
        <f>SUM(G7:G13)</f>
        <v>0</v>
      </c>
      <c r="H14" s="851">
        <f>SUM(H7:H13)</f>
        <v>3477000</v>
      </c>
      <c r="K14" s="294"/>
      <c r="M14" s="294"/>
    </row>
    <row r="15" spans="1:13" ht="14.4" thickBot="1">
      <c r="A15" s="288"/>
      <c r="H15" s="852"/>
    </row>
    <row r="16" spans="1:13" ht="18.75" customHeight="1" thickBot="1">
      <c r="A16" s="935" t="s">
        <v>74</v>
      </c>
      <c r="B16" s="936"/>
      <c r="C16" s="937"/>
      <c r="D16" s="292"/>
      <c r="E16" s="292"/>
      <c r="F16" s="292"/>
      <c r="G16" s="292"/>
      <c r="H16" s="853"/>
      <c r="J16" s="294"/>
      <c r="L16" s="294"/>
    </row>
    <row r="17" spans="1:8">
      <c r="A17" s="313" t="s">
        <v>75</v>
      </c>
      <c r="B17" s="314"/>
      <c r="C17" s="314"/>
      <c r="D17" s="314"/>
      <c r="E17" s="314"/>
      <c r="F17" s="314"/>
      <c r="G17" s="314"/>
      <c r="H17" s="854">
        <f>H14</f>
        <v>3477000</v>
      </c>
    </row>
    <row r="18" spans="1:8">
      <c r="A18" s="315" t="s">
        <v>76</v>
      </c>
      <c r="B18" s="316"/>
      <c r="C18" s="316"/>
      <c r="D18" s="316"/>
      <c r="E18" s="316"/>
      <c r="F18" s="316"/>
      <c r="G18" s="317">
        <f>'Pflegetaxe Budget'!G54</f>
        <v>0.23</v>
      </c>
      <c r="H18" s="855">
        <f>+H17*G18</f>
        <v>799710</v>
      </c>
    </row>
    <row r="19" spans="1:8">
      <c r="A19" s="315" t="s">
        <v>155</v>
      </c>
      <c r="B19" s="316"/>
      <c r="C19" s="316"/>
      <c r="D19" s="316"/>
      <c r="E19" s="316"/>
      <c r="F19" s="316"/>
      <c r="G19" s="316"/>
      <c r="H19" s="855">
        <f>-'Pflegetaxe Budget'!I61</f>
        <v>-217307.79</v>
      </c>
    </row>
    <row r="20" spans="1:8">
      <c r="A20" s="315" t="s">
        <v>260</v>
      </c>
      <c r="B20" s="316"/>
      <c r="C20" s="316"/>
      <c r="D20" s="316"/>
      <c r="E20" s="316"/>
      <c r="F20" s="316"/>
      <c r="G20" s="316"/>
      <c r="H20" s="824">
        <v>15000</v>
      </c>
    </row>
    <row r="21" spans="1:8">
      <c r="A21" s="315" t="s">
        <v>261</v>
      </c>
      <c r="B21" s="316"/>
      <c r="C21" s="316"/>
      <c r="D21" s="316"/>
      <c r="E21" s="316"/>
      <c r="F21" s="316"/>
      <c r="G21" s="316"/>
      <c r="H21" s="855">
        <f>-'Pflegetaxe Budget'!I58</f>
        <v>-23200</v>
      </c>
    </row>
    <row r="22" spans="1:8">
      <c r="A22" s="315" t="s">
        <v>3</v>
      </c>
      <c r="B22" s="316"/>
      <c r="C22" s="316"/>
      <c r="D22" s="316"/>
      <c r="E22" s="316"/>
      <c r="F22" s="316"/>
      <c r="G22" s="316"/>
      <c r="H22" s="824">
        <v>171000</v>
      </c>
    </row>
    <row r="23" spans="1:8">
      <c r="A23" s="315" t="s">
        <v>156</v>
      </c>
      <c r="B23" s="316"/>
      <c r="C23" s="316"/>
      <c r="D23" s="316"/>
      <c r="E23" s="316"/>
      <c r="F23" s="316"/>
      <c r="G23" s="316"/>
      <c r="H23" s="855">
        <f>-'Pflegetaxe Budget'!I60</f>
        <v>-20679.193376068375</v>
      </c>
    </row>
    <row r="24" spans="1:8">
      <c r="A24" s="315" t="s">
        <v>157</v>
      </c>
      <c r="B24" s="316"/>
      <c r="C24" s="316"/>
      <c r="D24" s="316"/>
      <c r="E24" s="316"/>
      <c r="F24" s="316"/>
      <c r="G24" s="316"/>
      <c r="H24" s="855">
        <f>-'Pflegetaxe Budget'!I59</f>
        <v>-41358.38675213675</v>
      </c>
    </row>
    <row r="25" spans="1:8">
      <c r="A25" s="379"/>
      <c r="B25" s="380"/>
      <c r="C25" s="380"/>
      <c r="D25" s="380"/>
      <c r="E25" s="485"/>
      <c r="F25" s="316"/>
      <c r="G25" s="316"/>
      <c r="H25" s="824"/>
    </row>
    <row r="26" spans="1:8">
      <c r="A26" s="379"/>
      <c r="B26" s="380"/>
      <c r="C26" s="380"/>
      <c r="D26" s="380"/>
      <c r="E26" s="485"/>
      <c r="F26" s="316"/>
      <c r="G26" s="316"/>
      <c r="H26" s="824"/>
    </row>
    <row r="27" spans="1:8">
      <c r="A27" s="315" t="s">
        <v>270</v>
      </c>
      <c r="B27" s="316"/>
      <c r="C27" s="316"/>
      <c r="D27" s="316"/>
      <c r="G27" s="858">
        <v>25000</v>
      </c>
      <c r="H27" s="855">
        <f>G27-'Pflegetaxe Budget'!I64</f>
        <v>7600</v>
      </c>
    </row>
    <row r="28" spans="1:8">
      <c r="A28" s="315" t="s">
        <v>319</v>
      </c>
      <c r="B28" s="316"/>
      <c r="C28" s="316"/>
      <c r="D28" s="316"/>
      <c r="E28" s="296"/>
      <c r="F28" s="316"/>
      <c r="G28" s="316"/>
      <c r="H28" s="855">
        <f>-'Pflegetaxe Budget'!I63</f>
        <v>-23200</v>
      </c>
    </row>
    <row r="29" spans="1:8">
      <c r="A29" s="315" t="s">
        <v>4</v>
      </c>
      <c r="B29" s="316"/>
      <c r="C29" s="316"/>
      <c r="D29" s="316"/>
      <c r="E29" s="316"/>
      <c r="F29" s="316"/>
      <c r="G29" s="316"/>
      <c r="H29" s="824">
        <v>780000</v>
      </c>
    </row>
    <row r="30" spans="1:8">
      <c r="A30" s="315" t="s">
        <v>5</v>
      </c>
      <c r="B30" s="316"/>
      <c r="C30" s="316"/>
      <c r="D30" s="316"/>
      <c r="E30" s="316"/>
      <c r="F30" s="316"/>
      <c r="G30" s="316"/>
      <c r="H30" s="824">
        <v>145000</v>
      </c>
    </row>
    <row r="31" spans="1:8">
      <c r="A31" s="315" t="s">
        <v>6</v>
      </c>
      <c r="B31" s="316"/>
      <c r="C31" s="316"/>
      <c r="D31" s="316"/>
      <c r="E31" s="316"/>
      <c r="F31" s="316"/>
      <c r="G31" s="316"/>
      <c r="H31" s="824">
        <v>241000</v>
      </c>
    </row>
    <row r="32" spans="1:8">
      <c r="A32" s="315" t="s">
        <v>77</v>
      </c>
      <c r="B32" s="316"/>
      <c r="C32" s="316"/>
      <c r="D32" s="316"/>
      <c r="E32" s="316"/>
      <c r="F32" s="316"/>
      <c r="G32" s="316"/>
      <c r="H32" s="824">
        <v>59000</v>
      </c>
    </row>
    <row r="33" spans="1:13">
      <c r="A33" s="315" t="s">
        <v>78</v>
      </c>
      <c r="B33" s="316"/>
      <c r="C33" s="316"/>
      <c r="D33" s="316"/>
      <c r="E33" s="316"/>
      <c r="F33" s="316"/>
      <c r="G33" s="316"/>
      <c r="H33" s="855">
        <f>'Anlagek. Budget'!F56</f>
        <v>1318983.3333333333</v>
      </c>
    </row>
    <row r="34" spans="1:13">
      <c r="A34" s="315" t="s">
        <v>249</v>
      </c>
      <c r="B34" s="316"/>
      <c r="C34" s="316"/>
      <c r="D34" s="316"/>
      <c r="E34" s="316"/>
      <c r="F34" s="316"/>
      <c r="G34" s="316"/>
      <c r="H34" s="855">
        <f>'Anlagek. Budget'!K56</f>
        <v>0</v>
      </c>
    </row>
    <row r="35" spans="1:13">
      <c r="A35" s="315" t="s">
        <v>250</v>
      </c>
      <c r="B35" s="316"/>
      <c r="C35" s="316"/>
      <c r="D35" s="316"/>
      <c r="E35" s="316"/>
      <c r="F35" s="316"/>
      <c r="G35" s="316"/>
      <c r="H35" s="824"/>
    </row>
    <row r="36" spans="1:13">
      <c r="A36" s="315" t="s">
        <v>79</v>
      </c>
      <c r="B36" s="316"/>
      <c r="C36" s="316"/>
      <c r="D36" s="316"/>
      <c r="E36" s="316"/>
      <c r="F36" s="316"/>
      <c r="G36" s="316"/>
      <c r="H36" s="855">
        <f>'Anlagek. Budget'!I56</f>
        <v>446925</v>
      </c>
    </row>
    <row r="37" spans="1:13">
      <c r="A37" s="315" t="s">
        <v>158</v>
      </c>
      <c r="B37" s="316"/>
      <c r="C37" s="316"/>
      <c r="D37" s="316"/>
      <c r="E37" s="316"/>
      <c r="F37" s="316"/>
      <c r="G37" s="316"/>
      <c r="H37" s="855">
        <f>-'Pflegetaxe Budget'!I62</f>
        <v>-139200</v>
      </c>
    </row>
    <row r="38" spans="1:13">
      <c r="A38" s="315" t="s">
        <v>80</v>
      </c>
      <c r="B38" s="316"/>
      <c r="C38" s="316"/>
      <c r="D38" s="316"/>
      <c r="E38" s="316"/>
      <c r="F38" s="316"/>
      <c r="G38" s="316"/>
      <c r="H38" s="824">
        <v>195000</v>
      </c>
    </row>
    <row r="39" spans="1:13">
      <c r="A39" s="315" t="s">
        <v>7</v>
      </c>
      <c r="B39" s="316"/>
      <c r="C39" s="316"/>
      <c r="D39" s="316"/>
      <c r="E39" s="316"/>
      <c r="F39" s="316"/>
      <c r="G39" s="316"/>
      <c r="H39" s="824">
        <v>224000</v>
      </c>
    </row>
    <row r="40" spans="1:13" ht="14.4" thickBot="1">
      <c r="A40" s="319" t="s">
        <v>61</v>
      </c>
      <c r="B40" s="320"/>
      <c r="C40" s="320"/>
      <c r="D40" s="320"/>
      <c r="E40" s="320"/>
      <c r="F40" s="320"/>
      <c r="G40" s="320"/>
      <c r="H40" s="824">
        <v>192000</v>
      </c>
    </row>
    <row r="41" spans="1:13" ht="18.75" customHeight="1" thickBot="1">
      <c r="A41" s="307" t="s">
        <v>81</v>
      </c>
      <c r="B41" s="308"/>
      <c r="C41" s="308"/>
      <c r="D41" s="308"/>
      <c r="E41" s="308"/>
      <c r="F41" s="308"/>
      <c r="G41" s="309"/>
      <c r="H41" s="856">
        <f>SUM(H17:H40)</f>
        <v>7607272.963205128</v>
      </c>
      <c r="K41" s="294"/>
      <c r="M41" s="294"/>
    </row>
    <row r="42" spans="1:13" ht="14.4" thickBot="1">
      <c r="A42" s="321"/>
      <c r="B42" s="322"/>
      <c r="C42" s="322"/>
      <c r="D42" s="322"/>
      <c r="E42" s="322"/>
      <c r="F42" s="322"/>
      <c r="G42" s="322"/>
      <c r="H42" s="857"/>
    </row>
    <row r="43" spans="1:13" ht="18.75" customHeight="1" thickBot="1">
      <c r="A43" s="935" t="s">
        <v>82</v>
      </c>
      <c r="B43" s="936"/>
      <c r="C43" s="937"/>
      <c r="D43" s="292"/>
      <c r="E43" s="292"/>
      <c r="F43" s="292"/>
      <c r="G43" s="292"/>
      <c r="H43" s="853"/>
      <c r="J43" s="294"/>
    </row>
    <row r="44" spans="1:13">
      <c r="A44" s="288" t="s">
        <v>57</v>
      </c>
      <c r="G44" s="294"/>
      <c r="H44" s="824">
        <v>67000</v>
      </c>
      <c r="L44" s="294"/>
    </row>
    <row r="45" spans="1:13">
      <c r="A45" s="315" t="s">
        <v>56</v>
      </c>
      <c r="B45" s="316"/>
      <c r="C45" s="316"/>
      <c r="D45" s="316"/>
      <c r="E45" s="316"/>
      <c r="F45" s="316"/>
      <c r="G45" s="316"/>
      <c r="H45" s="824">
        <v>33000</v>
      </c>
    </row>
    <row r="46" spans="1:13">
      <c r="A46" s="315" t="s">
        <v>83</v>
      </c>
      <c r="B46" s="316"/>
      <c r="C46" s="316"/>
      <c r="D46" s="316"/>
      <c r="E46" s="316"/>
      <c r="F46" s="316"/>
      <c r="G46" s="316"/>
      <c r="H46" s="824">
        <v>55000</v>
      </c>
    </row>
    <row r="47" spans="1:13">
      <c r="A47" s="315" t="s">
        <v>84</v>
      </c>
      <c r="B47" s="316"/>
      <c r="C47" s="316"/>
      <c r="D47" s="316"/>
      <c r="E47" s="316"/>
      <c r="F47" s="316"/>
      <c r="G47" s="316"/>
      <c r="H47" s="824">
        <v>160000</v>
      </c>
    </row>
    <row r="48" spans="1:13" ht="14.4" thickBot="1">
      <c r="A48" s="288" t="s">
        <v>85</v>
      </c>
      <c r="H48" s="824">
        <v>753000</v>
      </c>
    </row>
    <row r="49" spans="1:13" ht="18.75" customHeight="1" thickBot="1">
      <c r="A49" s="307" t="s">
        <v>86</v>
      </c>
      <c r="B49" s="308"/>
      <c r="C49" s="308"/>
      <c r="D49" s="308"/>
      <c r="E49" s="308"/>
      <c r="F49" s="308"/>
      <c r="G49" s="309"/>
      <c r="H49" s="851">
        <f>SUM(H44:H48)</f>
        <v>1068000</v>
      </c>
      <c r="K49" s="294"/>
      <c r="M49" s="294"/>
    </row>
    <row r="50" spans="1:13" ht="18.75" customHeight="1" thickBot="1">
      <c r="A50" s="307" t="s">
        <v>93</v>
      </c>
      <c r="B50" s="308"/>
      <c r="C50" s="308"/>
      <c r="D50" s="308"/>
      <c r="E50" s="308"/>
      <c r="F50" s="308"/>
      <c r="G50" s="309"/>
      <c r="H50" s="851">
        <f>H41-H49</f>
        <v>6539272.963205128</v>
      </c>
      <c r="K50" s="294"/>
      <c r="M50" s="294"/>
    </row>
    <row r="51" spans="1:13" ht="14.4" thickBot="1">
      <c r="A51" s="288"/>
      <c r="C51" s="325"/>
      <c r="D51" s="325"/>
      <c r="E51" s="325"/>
      <c r="F51" s="325"/>
      <c r="G51" s="325"/>
      <c r="H51" s="326"/>
    </row>
    <row r="52" spans="1:13" ht="18.75" customHeight="1" thickBot="1">
      <c r="A52" s="307" t="s">
        <v>135</v>
      </c>
      <c r="B52" s="308"/>
      <c r="C52" s="308"/>
      <c r="D52" s="308"/>
      <c r="E52" s="308"/>
      <c r="F52" s="308"/>
      <c r="G52" s="309"/>
      <c r="H52" s="862">
        <f>IF(ISERROR(H50/H3),"",H50/H3)</f>
        <v>150.43186020715731</v>
      </c>
      <c r="K52" s="294"/>
      <c r="M52" s="294"/>
    </row>
    <row r="53" spans="1:13">
      <c r="A53" s="288"/>
      <c r="H53" s="312"/>
    </row>
    <row r="54" spans="1:13" ht="16.2" thickBot="1">
      <c r="A54" s="328" t="s">
        <v>339</v>
      </c>
      <c r="B54" s="329"/>
      <c r="C54" s="329"/>
      <c r="D54" s="329"/>
      <c r="E54" s="329"/>
      <c r="F54" s="329"/>
      <c r="G54" s="329"/>
      <c r="H54" s="330"/>
    </row>
    <row r="55" spans="1:13">
      <c r="A55" s="331" t="s">
        <v>87</v>
      </c>
      <c r="B55" s="332"/>
      <c r="C55" s="333" t="s">
        <v>2</v>
      </c>
      <c r="D55" s="333" t="s">
        <v>212</v>
      </c>
      <c r="E55" s="333" t="s">
        <v>88</v>
      </c>
      <c r="F55" s="333" t="s">
        <v>89</v>
      </c>
      <c r="G55" s="333" t="s">
        <v>90</v>
      </c>
      <c r="H55" s="334"/>
    </row>
    <row r="56" spans="1:13">
      <c r="A56" s="486" t="s">
        <v>350</v>
      </c>
      <c r="B56" s="316"/>
      <c r="C56" s="381">
        <v>32</v>
      </c>
      <c r="D56" s="499">
        <v>8</v>
      </c>
      <c r="E56" s="345">
        <v>0.99</v>
      </c>
      <c r="F56" s="494">
        <f>IFERROR(D56*E56*'Pflegetaxe Budget'!$B$4,"")</f>
        <v>2890.8</v>
      </c>
      <c r="G56" s="864">
        <v>142</v>
      </c>
      <c r="H56" s="859">
        <f>IFERROR(F56*G56,"")</f>
        <v>410493.60000000003</v>
      </c>
    </row>
    <row r="57" spans="1:13">
      <c r="A57" s="486" t="s">
        <v>351</v>
      </c>
      <c r="B57" s="316"/>
      <c r="C57" s="381">
        <v>32</v>
      </c>
      <c r="D57" s="499">
        <v>44</v>
      </c>
      <c r="E57" s="345">
        <v>0.99</v>
      </c>
      <c r="F57" s="494">
        <f>IFERROR(D57*E57*'Pflegetaxe Budget'!$B$4,"")</f>
        <v>15899.400000000001</v>
      </c>
      <c r="G57" s="864">
        <v>145</v>
      </c>
      <c r="H57" s="859">
        <f t="shared" ref="H57:H69" si="0">IFERROR(F57*G57,"")</f>
        <v>2305413</v>
      </c>
    </row>
    <row r="58" spans="1:13">
      <c r="A58" s="486" t="s">
        <v>352</v>
      </c>
      <c r="B58" s="316"/>
      <c r="C58" s="381">
        <v>25</v>
      </c>
      <c r="D58" s="499">
        <v>4</v>
      </c>
      <c r="E58" s="345">
        <v>0.99</v>
      </c>
      <c r="F58" s="494">
        <f>IFERROR(D58*E58*'Pflegetaxe Budget'!$B$4,"")</f>
        <v>1445.4</v>
      </c>
      <c r="G58" s="864">
        <v>130</v>
      </c>
      <c r="H58" s="859">
        <f t="shared" si="0"/>
        <v>187902</v>
      </c>
    </row>
    <row r="59" spans="1:13">
      <c r="A59" s="486" t="s">
        <v>353</v>
      </c>
      <c r="B59" s="316"/>
      <c r="C59" s="381">
        <v>25</v>
      </c>
      <c r="D59" s="499">
        <v>9</v>
      </c>
      <c r="E59" s="345">
        <v>0.99</v>
      </c>
      <c r="F59" s="494">
        <f>IFERROR(D59*E59*'Pflegetaxe Budget'!$B$4,"")</f>
        <v>3252.15</v>
      </c>
      <c r="G59" s="864">
        <v>139</v>
      </c>
      <c r="H59" s="859">
        <f t="shared" si="0"/>
        <v>452048.85000000003</v>
      </c>
    </row>
    <row r="60" spans="1:13">
      <c r="A60" s="486" t="s">
        <v>354</v>
      </c>
      <c r="B60" s="316"/>
      <c r="C60" s="381">
        <v>30</v>
      </c>
      <c r="D60" s="499">
        <v>15</v>
      </c>
      <c r="E60" s="345">
        <v>0.99</v>
      </c>
      <c r="F60" s="494">
        <f>IFERROR(D60*E60*'Pflegetaxe Budget'!$B$4,"")</f>
        <v>5420.25</v>
      </c>
      <c r="G60" s="864">
        <v>146</v>
      </c>
      <c r="H60" s="859">
        <f t="shared" si="0"/>
        <v>791356.5</v>
      </c>
    </row>
    <row r="61" spans="1:13">
      <c r="A61" s="486" t="s">
        <v>355</v>
      </c>
      <c r="B61" s="316"/>
      <c r="C61" s="381">
        <v>30</v>
      </c>
      <c r="D61" s="499">
        <v>3</v>
      </c>
      <c r="E61" s="345">
        <v>0.99</v>
      </c>
      <c r="F61" s="494">
        <f>IFERROR(D61*E61*'Pflegetaxe Budget'!$B$4,"")</f>
        <v>1084.05</v>
      </c>
      <c r="G61" s="864">
        <v>138</v>
      </c>
      <c r="H61" s="859">
        <f t="shared" si="0"/>
        <v>149598.9</v>
      </c>
    </row>
    <row r="62" spans="1:13">
      <c r="A62" s="486" t="s">
        <v>356</v>
      </c>
      <c r="B62" s="316"/>
      <c r="C62" s="381">
        <v>40</v>
      </c>
      <c r="D62" s="499">
        <v>2</v>
      </c>
      <c r="E62" s="345">
        <v>0.99</v>
      </c>
      <c r="F62" s="494">
        <f>IFERROR(D62*E62*'Pflegetaxe Budget'!$B$4,"")</f>
        <v>722.7</v>
      </c>
      <c r="G62" s="864">
        <v>168</v>
      </c>
      <c r="H62" s="859">
        <f t="shared" si="0"/>
        <v>121413.6</v>
      </c>
    </row>
    <row r="63" spans="1:13">
      <c r="A63" s="486" t="s">
        <v>357</v>
      </c>
      <c r="B63" s="316"/>
      <c r="C63" s="381">
        <v>38</v>
      </c>
      <c r="D63" s="499">
        <v>1</v>
      </c>
      <c r="E63" s="345">
        <v>0.99</v>
      </c>
      <c r="F63" s="494">
        <f>IFERROR(D63*E63*'Pflegetaxe Budget'!$B$4,"")</f>
        <v>361.35</v>
      </c>
      <c r="G63" s="864">
        <v>165</v>
      </c>
      <c r="H63" s="859">
        <f t="shared" si="0"/>
        <v>59622.750000000007</v>
      </c>
    </row>
    <row r="64" spans="1:13">
      <c r="A64" s="486" t="s">
        <v>358</v>
      </c>
      <c r="B64" s="316"/>
      <c r="C64" s="381">
        <v>16</v>
      </c>
      <c r="D64" s="499">
        <v>1</v>
      </c>
      <c r="E64" s="345">
        <v>0.99</v>
      </c>
      <c r="F64" s="494">
        <f>IFERROR(D64*E64*'Pflegetaxe Budget'!$B$4,"")</f>
        <v>361.35</v>
      </c>
      <c r="G64" s="864">
        <v>118</v>
      </c>
      <c r="H64" s="859">
        <f t="shared" si="0"/>
        <v>42639.3</v>
      </c>
    </row>
    <row r="65" spans="1:13">
      <c r="A65" s="486" t="s">
        <v>359</v>
      </c>
      <c r="B65" s="316"/>
      <c r="C65" s="381">
        <v>19</v>
      </c>
      <c r="D65" s="499">
        <v>10</v>
      </c>
      <c r="E65" s="345">
        <v>0.99</v>
      </c>
      <c r="F65" s="494">
        <f>IFERROR(D65*E65*'Pflegetaxe Budget'!$B$4,"")</f>
        <v>3613.5</v>
      </c>
      <c r="G65" s="864">
        <v>118</v>
      </c>
      <c r="H65" s="859">
        <f t="shared" si="0"/>
        <v>426393</v>
      </c>
    </row>
    <row r="66" spans="1:13">
      <c r="A66" s="486" t="s">
        <v>360</v>
      </c>
      <c r="B66" s="316"/>
      <c r="C66" s="381">
        <v>20</v>
      </c>
      <c r="D66" s="499">
        <v>3</v>
      </c>
      <c r="E66" s="345">
        <v>0.99</v>
      </c>
      <c r="F66" s="494">
        <f>IFERROR(D66*E66*'Pflegetaxe Budget'!$B$4,"")</f>
        <v>1084.05</v>
      </c>
      <c r="G66" s="864">
        <v>131</v>
      </c>
      <c r="H66" s="859">
        <f t="shared" si="0"/>
        <v>142010.54999999999</v>
      </c>
    </row>
    <row r="67" spans="1:13">
      <c r="A67" s="486" t="s">
        <v>362</v>
      </c>
      <c r="B67" s="316"/>
      <c r="C67" s="381"/>
      <c r="D67" s="499">
        <v>19</v>
      </c>
      <c r="E67" s="345">
        <v>0.99</v>
      </c>
      <c r="F67" s="494">
        <f>IFERROR(D67*E67*'Pflegetaxe Budget'!$B$4,"")</f>
        <v>6865.65</v>
      </c>
      <c r="G67" s="864">
        <v>152</v>
      </c>
      <c r="H67" s="859">
        <f t="shared" si="0"/>
        <v>1043578.7999999999</v>
      </c>
    </row>
    <row r="68" spans="1:13">
      <c r="A68" s="486" t="s">
        <v>361</v>
      </c>
      <c r="B68" s="316"/>
      <c r="C68" s="381"/>
      <c r="D68" s="783">
        <v>1</v>
      </c>
      <c r="E68" s="345">
        <v>0.99</v>
      </c>
      <c r="F68" s="494">
        <f>IFERROR(D68*E68*'Pflegetaxe Budget'!$B$4,"")</f>
        <v>361.35</v>
      </c>
      <c r="G68" s="864">
        <v>98</v>
      </c>
      <c r="H68" s="859">
        <f t="shared" si="0"/>
        <v>35412.300000000003</v>
      </c>
    </row>
    <row r="69" spans="1:13" ht="14.4" thickBot="1">
      <c r="A69" s="487" t="s">
        <v>363</v>
      </c>
      <c r="B69" s="320"/>
      <c r="C69" s="382"/>
      <c r="D69" s="500">
        <v>1</v>
      </c>
      <c r="E69" s="346">
        <v>0.5</v>
      </c>
      <c r="F69" s="495">
        <f>IFERROR(D69*E69*'Pflegetaxe Budget'!$B$4,"")</f>
        <v>182.5</v>
      </c>
      <c r="G69" s="865">
        <v>170</v>
      </c>
      <c r="H69" s="860">
        <f t="shared" si="0"/>
        <v>31025</v>
      </c>
    </row>
    <row r="70" spans="1:13" ht="18.75" customHeight="1" thickBot="1">
      <c r="A70" s="288"/>
      <c r="H70" s="312"/>
      <c r="K70" s="294"/>
      <c r="M70" s="294"/>
    </row>
    <row r="71" spans="1:13" ht="16.2" thickBot="1">
      <c r="A71" s="307"/>
      <c r="B71" s="308"/>
      <c r="C71" s="308"/>
      <c r="D71" s="308"/>
      <c r="E71" s="308" t="s">
        <v>91</v>
      </c>
      <c r="F71" s="339">
        <f>SUM(F56:F69)</f>
        <v>43544.5</v>
      </c>
      <c r="G71" s="310" t="s">
        <v>92</v>
      </c>
      <c r="H71" s="863">
        <f>IF(ISERROR(+G73/F71),"",+G73/F71)</f>
        <v>142.35800502933779</v>
      </c>
    </row>
    <row r="72" spans="1:13" ht="14.4" thickBot="1">
      <c r="A72" s="288"/>
      <c r="D72" s="340"/>
      <c r="G72" s="340"/>
      <c r="H72" s="312"/>
    </row>
    <row r="73" spans="1:13" ht="18.75" customHeight="1" thickBot="1">
      <c r="A73" s="288"/>
      <c r="B73" s="307" t="s">
        <v>244</v>
      </c>
      <c r="C73" s="308"/>
      <c r="D73" s="308"/>
      <c r="E73" s="308"/>
      <c r="F73" s="308"/>
      <c r="G73" s="851">
        <f>SUM(H56:H69)</f>
        <v>6198908.1499999994</v>
      </c>
      <c r="H73" s="312"/>
      <c r="K73" s="294"/>
      <c r="M73" s="294"/>
    </row>
    <row r="74" spans="1:13" ht="14.4" thickBot="1">
      <c r="A74" s="288"/>
      <c r="G74" s="861"/>
      <c r="H74" s="312"/>
    </row>
    <row r="75" spans="1:13" ht="18.75" customHeight="1" thickBot="1">
      <c r="A75" s="341"/>
      <c r="B75" s="307" t="s">
        <v>340</v>
      </c>
      <c r="C75" s="308"/>
      <c r="D75" s="308"/>
      <c r="E75" s="308"/>
      <c r="F75" s="308"/>
      <c r="G75" s="851">
        <f>G73-H50</f>
        <v>-340364.81320512854</v>
      </c>
      <c r="H75" s="342"/>
      <c r="K75" s="294"/>
      <c r="M75" s="294"/>
    </row>
    <row r="76" spans="1:13">
      <c r="A76" s="290"/>
      <c r="B76" s="289"/>
      <c r="C76" s="290"/>
      <c r="D76" s="290"/>
      <c r="E76" s="290"/>
      <c r="G76" s="340"/>
    </row>
    <row r="77" spans="1:13">
      <c r="G77" s="340"/>
    </row>
  </sheetData>
  <sheetProtection algorithmName="SHA-512" hashValue="TO2hWD/2a0/fIU8BQ8s8+6gkCmQHkdGAJHant+cIoglqdyI06tnnZpRk4wxOIhVbg62K15z/Lyl8g1kKTsz7TA==" saltValue="dR3q2MYpflY/0p/qy6VbGA==" spinCount="100000" sheet="1" objects="1" scenarios="1"/>
  <mergeCells count="3">
    <mergeCell ref="A5:C5"/>
    <mergeCell ref="A16:C16"/>
    <mergeCell ref="A43:C43"/>
  </mergeCells>
  <phoneticPr fontId="39" type="noConversion"/>
  <conditionalFormatting sqref="F56:F69">
    <cfRule type="cellIs" dxfId="49" priority="7" operator="equal">
      <formula>0</formula>
    </cfRule>
  </conditionalFormatting>
  <conditionalFormatting sqref="E3">
    <cfRule type="cellIs" dxfId="48" priority="6" operator="equal">
      <formula>1</formula>
    </cfRule>
  </conditionalFormatting>
  <conditionalFormatting sqref="G69">
    <cfRule type="cellIs" dxfId="47" priority="3" operator="equal">
      <formula>0</formula>
    </cfRule>
  </conditionalFormatting>
  <conditionalFormatting sqref="E56:E69">
    <cfRule type="cellIs" dxfId="46" priority="4" operator="equal">
      <formula>0</formula>
    </cfRule>
  </conditionalFormatting>
  <conditionalFormatting sqref="G56:G68">
    <cfRule type="cellIs" dxfId="45" priority="2" operator="equal">
      <formula>0</formula>
    </cfRule>
  </conditionalFormatting>
  <pageMargins left="0.39370078740157483" right="0.39370078740157483" top="0.59055118110236227" bottom="0.59055118110236227"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96E2A4"/>
  </sheetPr>
  <dimension ref="A1:M84"/>
  <sheetViews>
    <sheetView zoomScale="70" zoomScaleNormal="70" zoomScalePageLayoutView="70" workbookViewId="0">
      <selection activeCell="H5" sqref="H5"/>
    </sheetView>
  </sheetViews>
  <sheetFormatPr baseColWidth="10" defaultColWidth="11" defaultRowHeight="13.8"/>
  <cols>
    <col min="1" max="1" width="17.5" style="284" customWidth="1"/>
    <col min="2" max="2" width="5" style="284" customWidth="1"/>
    <col min="3" max="3" width="8.5" style="284" customWidth="1"/>
    <col min="4" max="4" width="13.5" style="284" customWidth="1"/>
    <col min="5" max="5" width="9.59765625" style="284" customWidth="1"/>
    <col min="6" max="6" width="17.69921875" style="284" customWidth="1"/>
    <col min="7" max="7" width="5" style="284" customWidth="1"/>
    <col min="8" max="8" width="20.59765625" style="284" customWidth="1"/>
    <col min="9" max="16384" width="11" style="284"/>
  </cols>
  <sheetData>
    <row r="1" spans="1:12" s="280" customFormat="1" ht="25.5" customHeight="1">
      <c r="A1" s="276" t="s">
        <v>227</v>
      </c>
      <c r="B1" s="277"/>
      <c r="C1" s="277"/>
      <c r="D1" s="278"/>
      <c r="E1" s="278" t="s">
        <v>151</v>
      </c>
      <c r="F1" s="369" t="str">
        <f>'Pflegetaxe Budget'!G1</f>
        <v>SCHULUNG</v>
      </c>
      <c r="G1" s="369"/>
      <c r="H1" s="279">
        <f>'Pflegetaxe Budget'!I1</f>
        <v>2024</v>
      </c>
    </row>
    <row r="2" spans="1:12" ht="18" customHeight="1">
      <c r="A2" s="281"/>
      <c r="B2" s="282"/>
      <c r="C2" s="282"/>
      <c r="D2" s="282"/>
      <c r="E2" s="282"/>
      <c r="F2" s="282"/>
      <c r="G2" s="282"/>
      <c r="H2" s="283"/>
    </row>
    <row r="3" spans="1:12" ht="14.4" thickBot="1">
      <c r="A3" s="285" t="str">
        <f>'Pensionstaxe Budget'!A3</f>
        <v>Pensionstage</v>
      </c>
      <c r="B3" s="286"/>
      <c r="C3" s="286"/>
      <c r="D3" s="287" t="str">
        <f>'Pensionstaxe Budget'!D3</f>
        <v>Bettenangebot:</v>
      </c>
      <c r="E3" s="377">
        <f>'Pensionstaxe Budget'!E3</f>
        <v>120</v>
      </c>
      <c r="F3" s="287" t="str">
        <f>'Pensionstaxe Budget'!F3</f>
        <v>Auslastung:</v>
      </c>
      <c r="G3" s="343">
        <f>'Pensionstaxe Budget'!G3</f>
        <v>0.99246575342465748</v>
      </c>
      <c r="H3" s="344">
        <f>'Pensionstaxe Budget'!H3</f>
        <v>43470</v>
      </c>
    </row>
    <row r="4" spans="1:12" ht="18.75" customHeight="1" thickBot="1">
      <c r="A4" s="935" t="str">
        <f>'Pensionstaxe Budget'!A5</f>
        <v>Budgetierte Stellen Pension</v>
      </c>
      <c r="B4" s="936">
        <f>'Pensionstaxe Budget'!B5</f>
        <v>0</v>
      </c>
      <c r="C4" s="937">
        <f>'Pensionstaxe Budget'!C5</f>
        <v>0</v>
      </c>
      <c r="D4" s="292">
        <f>'Pensionstaxe Budget'!D5</f>
        <v>0</v>
      </c>
      <c r="E4" s="292">
        <f>'Pensionstaxe Budget'!E5</f>
        <v>0</v>
      </c>
      <c r="F4" s="292">
        <f>'Pensionstaxe Budget'!F5</f>
        <v>0</v>
      </c>
      <c r="G4" s="292">
        <f>'Pensionstaxe Budget'!G5</f>
        <v>0</v>
      </c>
      <c r="H4" s="293">
        <f>'Pensionstaxe Budget'!H5</f>
        <v>0</v>
      </c>
      <c r="J4" s="294"/>
      <c r="L4" s="294"/>
    </row>
    <row r="5" spans="1:12" ht="14.4">
      <c r="A5" s="295">
        <f>'Pensionstaxe Budget'!A6</f>
        <v>0</v>
      </c>
      <c r="B5" s="296">
        <f>'Pensionstaxe Budget'!B6</f>
        <v>0</v>
      </c>
      <c r="C5" s="296">
        <f>'Pensionstaxe Budget'!C6</f>
        <v>0</v>
      </c>
      <c r="D5" s="296">
        <f>'Pensionstaxe Budget'!D6</f>
        <v>0</v>
      </c>
      <c r="E5" s="296">
        <f>'Pensionstaxe Budget'!E6</f>
        <v>0</v>
      </c>
      <c r="F5" s="297"/>
      <c r="G5" s="298"/>
      <c r="H5" s="299" t="str">
        <f>'Pensionstaxe Budget'!H6</f>
        <v xml:space="preserve">Besoldung </v>
      </c>
    </row>
    <row r="6" spans="1:12" ht="14.4">
      <c r="A6" s="300" t="str">
        <f>'Pensionstaxe Budget'!A7</f>
        <v>Besoldung Verwaltung</v>
      </c>
      <c r="B6" s="301"/>
      <c r="C6" s="301"/>
      <c r="D6" s="301"/>
      <c r="E6" s="302"/>
      <c r="F6" s="414"/>
      <c r="G6" s="435"/>
      <c r="H6" s="438">
        <f>'Pensionstaxe Budget'!H7</f>
        <v>476000</v>
      </c>
    </row>
    <row r="7" spans="1:12" ht="14.4">
      <c r="A7" s="300" t="str">
        <f>'Pensionstaxe Budget'!A8</f>
        <v>Besoldung Verpflegung</v>
      </c>
      <c r="B7" s="301"/>
      <c r="C7" s="301"/>
      <c r="D7" s="301"/>
      <c r="E7" s="302"/>
      <c r="F7" s="414"/>
      <c r="G7" s="435"/>
      <c r="H7" s="438">
        <f>'Pensionstaxe Budget'!H8</f>
        <v>1035000</v>
      </c>
    </row>
    <row r="8" spans="1:12" ht="14.4">
      <c r="A8" s="300" t="str">
        <f>'Pensionstaxe Budget'!A9</f>
        <v>Besoldung Hausdienst inkl. Wäscherei</v>
      </c>
      <c r="B8" s="301"/>
      <c r="C8" s="301"/>
      <c r="D8" s="301"/>
      <c r="E8" s="302"/>
      <c r="F8" s="414"/>
      <c r="G8" s="435"/>
      <c r="H8" s="438">
        <f>'Pensionstaxe Budget'!H9</f>
        <v>1067000</v>
      </c>
    </row>
    <row r="9" spans="1:12" ht="14.4">
      <c r="A9" s="300" t="str">
        <f>'Pensionstaxe Budget'!A10</f>
        <v>Besoldung Techn. Dienst</v>
      </c>
      <c r="B9" s="301"/>
      <c r="C9" s="301"/>
      <c r="D9" s="301"/>
      <c r="E9" s="302"/>
      <c r="F9" s="414"/>
      <c r="G9" s="435"/>
      <c r="H9" s="438">
        <f>'Pensionstaxe Budget'!H10</f>
        <v>445000</v>
      </c>
    </row>
    <row r="10" spans="1:12" ht="14.4">
      <c r="A10" s="303" t="str">
        <f>'Pensionstaxe Budget'!A11</f>
        <v>Besoldung Dritte</v>
      </c>
      <c r="B10" s="304"/>
      <c r="C10" s="304"/>
      <c r="D10" s="304"/>
      <c r="E10" s="305"/>
      <c r="F10" s="436"/>
      <c r="G10" s="437"/>
      <c r="H10" s="439">
        <f>'Pensionstaxe Budget'!H11</f>
        <v>187000</v>
      </c>
    </row>
    <row r="11" spans="1:12" ht="14.4">
      <c r="A11" s="303" t="str">
        <f>'Pflegetaxe Budget'!A77</f>
        <v>Lohnsumme Pflegefachpersonal Tertiärstufe</v>
      </c>
      <c r="B11" s="304"/>
      <c r="C11" s="304"/>
      <c r="D11" s="304"/>
      <c r="E11" s="305"/>
      <c r="F11" s="436"/>
      <c r="G11" s="437"/>
      <c r="H11" s="439">
        <f>'Pflegetaxe Budget'!I77</f>
        <v>1141000</v>
      </c>
    </row>
    <row r="12" spans="1:12" ht="14.4">
      <c r="A12" s="303" t="str">
        <f>'Pflegetaxe Budget'!A78</f>
        <v>Lohnsumme Pflegefachpersonal Sekundarstufe</v>
      </c>
      <c r="B12" s="304"/>
      <c r="C12" s="304"/>
      <c r="D12" s="304"/>
      <c r="E12" s="305"/>
      <c r="F12" s="436"/>
      <c r="G12" s="437"/>
      <c r="H12" s="439">
        <f>'Pflegetaxe Budget'!I78</f>
        <v>1263000</v>
      </c>
    </row>
    <row r="13" spans="1:12" ht="14.4">
      <c r="A13" s="303" t="str">
        <f>'Pflegetaxe Budget'!A79</f>
        <v>Lohnsumme Assistenzpersonal</v>
      </c>
      <c r="B13" s="304"/>
      <c r="C13" s="304"/>
      <c r="D13" s="304"/>
      <c r="E13" s="305"/>
      <c r="F13" s="436"/>
      <c r="G13" s="437"/>
      <c r="H13" s="439">
        <f>'Pflegetaxe Budget'!I79</f>
        <v>2064000</v>
      </c>
    </row>
    <row r="14" spans="1:12" ht="14.4">
      <c r="A14" s="303" t="str">
        <f>'Pflegetaxe Budget'!A80</f>
        <v>Lohnsumme Aktivierungspersonal</v>
      </c>
      <c r="B14" s="304"/>
      <c r="C14" s="304"/>
      <c r="D14" s="304"/>
      <c r="E14" s="305"/>
      <c r="F14" s="436"/>
      <c r="G14" s="437"/>
      <c r="H14" s="439">
        <f>'Pflegetaxe Budget'!I80</f>
        <v>100000</v>
      </c>
    </row>
    <row r="15" spans="1:12" ht="14.4">
      <c r="A15" s="303" t="str">
        <f>'Pflegetaxe Budget'!A81</f>
        <v>Löhne Pflegepersonal in Ausbildung</v>
      </c>
      <c r="B15" s="304"/>
      <c r="C15" s="304"/>
      <c r="D15" s="304"/>
      <c r="E15" s="305"/>
      <c r="F15" s="436"/>
      <c r="G15" s="437"/>
      <c r="H15" s="439">
        <f>'Pflegetaxe Budget'!I81</f>
        <v>238000</v>
      </c>
    </row>
    <row r="16" spans="1:12" ht="14.4">
      <c r="A16" s="303" t="str">
        <f>'Pflegetaxe Budget'!A82</f>
        <v>Praktikant/innen / FABE in Ausbildung</v>
      </c>
      <c r="B16" s="304"/>
      <c r="C16" s="304"/>
      <c r="D16" s="304"/>
      <c r="E16" s="305"/>
      <c r="F16" s="436"/>
      <c r="G16" s="437"/>
      <c r="H16" s="439">
        <f>'Pflegetaxe Budget'!I82</f>
        <v>52000</v>
      </c>
    </row>
    <row r="17" spans="1:13" ht="15" thickBot="1">
      <c r="A17" s="303" t="str">
        <f>'Pensionstaxe Budget'!A13</f>
        <v>Besoldung Grundausbildung Pensionsbereich</v>
      </c>
      <c r="B17" s="304">
        <f>'Pensionstaxe Budget'!B13</f>
        <v>0</v>
      </c>
      <c r="C17" s="304">
        <f>'Pensionstaxe Budget'!C13</f>
        <v>0</v>
      </c>
      <c r="D17" s="304">
        <f>'Pensionstaxe Budget'!D13</f>
        <v>0</v>
      </c>
      <c r="E17" s="305">
        <f>'Pensionstaxe Budget'!E13</f>
        <v>0</v>
      </c>
      <c r="F17" s="436"/>
      <c r="G17" s="306"/>
      <c r="H17" s="439">
        <f>'Pensionstaxe Budget'!H13</f>
        <v>267000</v>
      </c>
    </row>
    <row r="18" spans="1:13" ht="18.75" customHeight="1" thickBot="1">
      <c r="A18" s="416" t="s">
        <v>75</v>
      </c>
      <c r="B18" s="417"/>
      <c r="C18" s="417"/>
      <c r="D18" s="417"/>
      <c r="E18" s="417"/>
      <c r="F18" s="418"/>
      <c r="G18" s="419"/>
      <c r="H18" s="420">
        <f>SUM(H6:H17)</f>
        <v>8335000</v>
      </c>
      <c r="K18" s="294"/>
      <c r="M18" s="294"/>
    </row>
    <row r="19" spans="1:13">
      <c r="A19" s="315" t="str">
        <f>'Pensionstaxe Budget'!A18</f>
        <v>Sozialleistungen (ohne Pflegepersonal)</v>
      </c>
      <c r="B19" s="316"/>
      <c r="C19" s="316"/>
      <c r="D19" s="316"/>
      <c r="E19" s="316"/>
      <c r="F19" s="317">
        <f>'Pensionstaxe Budget'!G18</f>
        <v>0.23</v>
      </c>
      <c r="H19" s="318">
        <f>F19*H18</f>
        <v>1917050</v>
      </c>
    </row>
    <row r="20" spans="1:13">
      <c r="A20" s="315" t="str">
        <f>'Pensionstaxe Budget'!A19</f>
        <v xml:space="preserve">   Verrechnung Lohnkosten auf Pflege</v>
      </c>
      <c r="B20" s="316"/>
      <c r="C20" s="316"/>
      <c r="D20" s="316"/>
      <c r="E20" s="316"/>
      <c r="F20" s="316"/>
      <c r="G20" s="316">
        <f>'Pensionstaxe Budget'!G19</f>
        <v>0</v>
      </c>
      <c r="H20" s="318">
        <f>'Pensionstaxe Budget'!H19</f>
        <v>-217307.79</v>
      </c>
    </row>
    <row r="21" spans="1:13">
      <c r="A21" s="315" t="str">
        <f>'Pensionstaxe Budget'!A22</f>
        <v>Personalnebenkosten</v>
      </c>
      <c r="B21" s="316"/>
      <c r="C21" s="316"/>
      <c r="D21" s="316"/>
      <c r="E21" s="316"/>
      <c r="F21" s="316"/>
      <c r="G21" s="316">
        <f>'Pensionstaxe Budget'!G22</f>
        <v>0</v>
      </c>
      <c r="H21" s="440">
        <f>'Pensionstaxe Budget'!H22</f>
        <v>171000</v>
      </c>
    </row>
    <row r="22" spans="1:13">
      <c r="A22" s="315" t="str">
        <f>'Pensionstaxe Budget'!A23</f>
        <v xml:space="preserve">   Verrechnung Personalnebenkosten auf Pflege</v>
      </c>
      <c r="B22" s="316"/>
      <c r="C22" s="316"/>
      <c r="D22" s="316"/>
      <c r="E22" s="316"/>
      <c r="F22" s="316"/>
      <c r="G22" s="316">
        <f>'Pensionstaxe Budget'!G23</f>
        <v>0</v>
      </c>
      <c r="H22" s="318">
        <f>'Pensionstaxe Budget'!H23</f>
        <v>-20679.193376068375</v>
      </c>
    </row>
    <row r="23" spans="1:13">
      <c r="A23" s="315" t="str">
        <f>'Pensionstaxe Budget'!A24</f>
        <v xml:space="preserve">   Verrechnung Fort- und Weiterbildung Pflege</v>
      </c>
      <c r="B23" s="316"/>
      <c r="C23" s="316"/>
      <c r="D23" s="316"/>
      <c r="E23" s="316"/>
      <c r="F23" s="316"/>
      <c r="G23" s="316">
        <f>'Pensionstaxe Budget'!G24</f>
        <v>0</v>
      </c>
      <c r="H23" s="318">
        <f>'Pensionstaxe Budget'!H24</f>
        <v>-41358.38675213675</v>
      </c>
    </row>
    <row r="24" spans="1:13">
      <c r="A24" s="315" t="str">
        <f>'Pensionstaxe Budget'!A28</f>
        <v xml:space="preserve">   Verrechnung Elektr. Patientendossier Anteil Pflege</v>
      </c>
      <c r="B24" s="316"/>
      <c r="C24" s="316"/>
      <c r="D24" s="316"/>
      <c r="E24" s="316"/>
      <c r="F24" s="316"/>
      <c r="G24" s="316">
        <f>'Pensionstaxe Budget'!G28</f>
        <v>0</v>
      </c>
      <c r="H24" s="440">
        <f>'Pensionstaxe Budget'!H28</f>
        <v>-23200</v>
      </c>
    </row>
    <row r="25" spans="1:13">
      <c r="A25" s="315" t="str">
        <f>'Pensionstaxe Budget'!A29</f>
        <v>Lebensmittelaufwand</v>
      </c>
      <c r="B25" s="316"/>
      <c r="C25" s="316"/>
      <c r="D25" s="316"/>
      <c r="E25" s="316"/>
      <c r="F25" s="316"/>
      <c r="G25" s="316">
        <f>'Pensionstaxe Budget'!G29</f>
        <v>0</v>
      </c>
      <c r="H25" s="440">
        <f>'Pensionstaxe Budget'!H29</f>
        <v>780000</v>
      </c>
    </row>
    <row r="26" spans="1:13">
      <c r="A26" s="315" t="str">
        <f>'Pensionstaxe Budget'!A30</f>
        <v>Haushaltaufwand</v>
      </c>
      <c r="B26" s="316"/>
      <c r="C26" s="316"/>
      <c r="D26" s="316"/>
      <c r="E26" s="316"/>
      <c r="F26" s="316"/>
      <c r="G26" s="316">
        <f>'Pensionstaxe Budget'!G30</f>
        <v>0</v>
      </c>
      <c r="H26" s="440">
        <f>'Pensionstaxe Budget'!H30</f>
        <v>145000</v>
      </c>
    </row>
    <row r="27" spans="1:13">
      <c r="A27" s="315" t="str">
        <f>'Pensionstaxe Budget'!A31</f>
        <v>Unterhalt und Reparaturen</v>
      </c>
      <c r="B27" s="316"/>
      <c r="C27" s="316"/>
      <c r="D27" s="316"/>
      <c r="E27" s="316"/>
      <c r="F27" s="316"/>
      <c r="G27" s="316">
        <f>'Pensionstaxe Budget'!G31</f>
        <v>0</v>
      </c>
      <c r="H27" s="440">
        <f>'Pensionstaxe Budget'!H31</f>
        <v>241000</v>
      </c>
    </row>
    <row r="28" spans="1:13">
      <c r="A28" s="315" t="str">
        <f>'Pensionstaxe Budget'!A32</f>
        <v>Anschaffungen - Direktabschreibung</v>
      </c>
      <c r="B28" s="316"/>
      <c r="C28" s="316"/>
      <c r="D28" s="316"/>
      <c r="E28" s="316"/>
      <c r="F28" s="316"/>
      <c r="G28" s="316">
        <f>'Pensionstaxe Budget'!G32</f>
        <v>0</v>
      </c>
      <c r="H28" s="440">
        <f>'Pensionstaxe Budget'!H32</f>
        <v>59000</v>
      </c>
    </row>
    <row r="29" spans="1:13">
      <c r="A29" s="315" t="s">
        <v>228</v>
      </c>
      <c r="B29" s="316"/>
      <c r="C29" s="316"/>
      <c r="D29" s="316"/>
      <c r="E29" s="316"/>
      <c r="F29" s="316"/>
      <c r="G29" s="316">
        <f>'Pensionstaxe Budget'!G33</f>
        <v>0</v>
      </c>
      <c r="H29" s="412"/>
    </row>
    <row r="30" spans="1:13">
      <c r="A30" s="315" t="str">
        <f>'Pensionstaxe Budget'!A34</f>
        <v>Miete aus Anlagekosten</v>
      </c>
      <c r="B30" s="316"/>
      <c r="C30" s="316"/>
      <c r="D30" s="316"/>
      <c r="E30" s="316"/>
      <c r="F30" s="316"/>
      <c r="G30" s="316">
        <f>'Pensionstaxe Budget'!G34</f>
        <v>0</v>
      </c>
      <c r="H30" s="412"/>
    </row>
    <row r="31" spans="1:13">
      <c r="A31" s="315" t="str">
        <f>'Pensionstaxe Budget'!A36</f>
        <v>kalkulatorische Zinsen</v>
      </c>
      <c r="B31" s="316"/>
      <c r="C31" s="316"/>
      <c r="D31" s="316"/>
      <c r="E31" s="316"/>
      <c r="F31" s="316"/>
      <c r="G31" s="316">
        <f>'Pensionstaxe Budget'!G36</f>
        <v>0</v>
      </c>
      <c r="H31" s="412"/>
    </row>
    <row r="32" spans="1:13">
      <c r="A32" s="315" t="str">
        <f>'Pensionstaxe Budget'!A37</f>
        <v xml:space="preserve">   Verrechnung Anlageanteil auf Pflege</v>
      </c>
      <c r="B32" s="316"/>
      <c r="C32" s="316"/>
      <c r="D32" s="316"/>
      <c r="E32" s="316"/>
      <c r="F32" s="316"/>
      <c r="G32" s="316">
        <f>'Pensionstaxe Budget'!G37</f>
        <v>0</v>
      </c>
      <c r="H32" s="318">
        <f>'Pensionstaxe Budget'!H37</f>
        <v>-139200</v>
      </c>
    </row>
    <row r="33" spans="1:13">
      <c r="A33" s="315" t="str">
        <f>'Pensionstaxe Budget'!A38</f>
        <v>Energie und Wasser</v>
      </c>
      <c r="B33" s="316"/>
      <c r="C33" s="316"/>
      <c r="D33" s="316"/>
      <c r="E33" s="316"/>
      <c r="F33" s="316"/>
      <c r="G33" s="316">
        <f>'Pensionstaxe Budget'!G38</f>
        <v>0</v>
      </c>
      <c r="H33" s="440">
        <f>'Pensionstaxe Budget'!H38</f>
        <v>195000</v>
      </c>
    </row>
    <row r="34" spans="1:13">
      <c r="A34" s="315" t="str">
        <f>'Pensionstaxe Budget'!A39</f>
        <v>Büro- und Verwaltungsaufwand</v>
      </c>
      <c r="B34" s="316"/>
      <c r="C34" s="316"/>
      <c r="D34" s="316"/>
      <c r="E34" s="316"/>
      <c r="F34" s="316"/>
      <c r="G34" s="316">
        <f>'Pensionstaxe Budget'!G39</f>
        <v>0</v>
      </c>
      <c r="H34" s="440">
        <f>'Pensionstaxe Budget'!H39</f>
        <v>224000</v>
      </c>
    </row>
    <row r="35" spans="1:13" ht="14.4" thickBot="1">
      <c r="A35" s="319" t="str">
        <f>'Pensionstaxe Budget'!A40</f>
        <v>Übriger Betriebsaufwand (Versicherung, Entsorgung, Gebühren etc.)</v>
      </c>
      <c r="B35" s="320"/>
      <c r="C35" s="320"/>
      <c r="D35" s="320"/>
      <c r="E35" s="320"/>
      <c r="F35" s="320"/>
      <c r="G35" s="320">
        <f>'Pensionstaxe Budget'!G40</f>
        <v>0</v>
      </c>
      <c r="H35" s="440">
        <f>'Pensionstaxe Budget'!H40</f>
        <v>192000</v>
      </c>
    </row>
    <row r="36" spans="1:13" ht="18.75" customHeight="1" thickBot="1">
      <c r="A36" s="307" t="s">
        <v>229</v>
      </c>
      <c r="B36" s="308"/>
      <c r="C36" s="308"/>
      <c r="D36" s="308"/>
      <c r="E36" s="308"/>
      <c r="F36" s="308"/>
      <c r="G36" s="309"/>
      <c r="H36" s="311">
        <f>SUM(H18:H35)</f>
        <v>11817304.629871797</v>
      </c>
      <c r="K36" s="294"/>
      <c r="M36" s="294"/>
    </row>
    <row r="37" spans="1:13" ht="14.4" thickBot="1">
      <c r="A37" s="321">
        <f>'Pensionstaxe Budget'!A42</f>
        <v>0</v>
      </c>
      <c r="B37" s="322">
        <f>'Pensionstaxe Budget'!B42</f>
        <v>0</v>
      </c>
      <c r="C37" s="322">
        <f>'Pensionstaxe Budget'!C42</f>
        <v>0</v>
      </c>
      <c r="D37" s="322">
        <f>'Pensionstaxe Budget'!D42</f>
        <v>0</v>
      </c>
      <c r="E37" s="322">
        <f>'Pensionstaxe Budget'!E42</f>
        <v>0</v>
      </c>
      <c r="F37" s="322">
        <f>'Pensionstaxe Budget'!F42</f>
        <v>0</v>
      </c>
      <c r="G37" s="322">
        <f>'Pensionstaxe Budget'!G42</f>
        <v>0</v>
      </c>
      <c r="H37" s="323">
        <f>'Pensionstaxe Budget'!H42</f>
        <v>0</v>
      </c>
    </row>
    <row r="38" spans="1:13" ht="18.75" customHeight="1" thickBot="1">
      <c r="A38" s="935" t="str">
        <f>'Pensionstaxe Budget'!A43</f>
        <v>Erlöse</v>
      </c>
      <c r="B38" s="936">
        <f>'Pensionstaxe Budget'!B43</f>
        <v>0</v>
      </c>
      <c r="C38" s="937">
        <f>'Pensionstaxe Budget'!C43</f>
        <v>0</v>
      </c>
      <c r="D38" s="292"/>
      <c r="E38" s="292"/>
      <c r="F38" s="292"/>
      <c r="G38" s="292"/>
      <c r="H38" s="324"/>
      <c r="J38" s="294"/>
    </row>
    <row r="39" spans="1:13" ht="15.6">
      <c r="A39" s="427" t="s">
        <v>230</v>
      </c>
      <c r="B39" s="421"/>
      <c r="C39" s="421"/>
      <c r="D39" s="421"/>
      <c r="E39" s="421"/>
      <c r="F39" s="421"/>
      <c r="G39" s="421"/>
      <c r="H39" s="428"/>
    </row>
    <row r="40" spans="1:13">
      <c r="A40" s="422" t="str">
        <f>'Pensionstaxe Budget'!A55</f>
        <v>Zimmerkategorie</v>
      </c>
      <c r="B40" s="423">
        <f>'Pensionstaxe Budget'!B55</f>
        <v>0</v>
      </c>
      <c r="C40" s="298"/>
      <c r="D40" s="298" t="str">
        <f>'Pensionstaxe Budget'!F55</f>
        <v>Bewohnertage</v>
      </c>
      <c r="F40" s="298" t="str">
        <f>'Pensionstaxe Budget'!G55</f>
        <v>Preis</v>
      </c>
      <c r="H40" s="424">
        <f>'Pensionstaxe Budget'!H55</f>
        <v>0</v>
      </c>
    </row>
    <row r="41" spans="1:13">
      <c r="A41" s="315" t="str">
        <f>'Pensionstaxe Budget'!A56</f>
        <v>Typ A</v>
      </c>
      <c r="B41" s="316">
        <f>'Pensionstaxe Budget'!B56</f>
        <v>0</v>
      </c>
      <c r="C41" s="413"/>
      <c r="D41" s="335">
        <f>'Pensionstaxe Budget'!F56</f>
        <v>2890.8</v>
      </c>
      <c r="E41" s="335"/>
      <c r="F41" s="425">
        <f>'Pensionstaxe Budget'!G56</f>
        <v>142</v>
      </c>
      <c r="H41" s="336">
        <f>'Pensionstaxe Budget'!H56</f>
        <v>410493.60000000003</v>
      </c>
    </row>
    <row r="42" spans="1:13">
      <c r="A42" s="315" t="str">
        <f>'Pensionstaxe Budget'!A57</f>
        <v>Typ Ab</v>
      </c>
      <c r="B42" s="316">
        <f>'Pensionstaxe Budget'!B57</f>
        <v>0</v>
      </c>
      <c r="C42" s="413"/>
      <c r="D42" s="335">
        <f>'Pensionstaxe Budget'!F57</f>
        <v>15899.400000000001</v>
      </c>
      <c r="E42" s="335"/>
      <c r="F42" s="425">
        <f>'Pensionstaxe Budget'!G57</f>
        <v>145</v>
      </c>
      <c r="H42" s="336">
        <f>'Pensionstaxe Budget'!H57</f>
        <v>2305413</v>
      </c>
    </row>
    <row r="43" spans="1:13">
      <c r="A43" s="315" t="str">
        <f>'Pensionstaxe Budget'!A58</f>
        <v>Typ B</v>
      </c>
      <c r="B43" s="316">
        <f>'Pensionstaxe Budget'!B58</f>
        <v>0</v>
      </c>
      <c r="C43" s="413"/>
      <c r="D43" s="335">
        <f>'Pensionstaxe Budget'!F58</f>
        <v>1445.4</v>
      </c>
      <c r="E43" s="335"/>
      <c r="F43" s="425">
        <f>'Pensionstaxe Budget'!G58</f>
        <v>130</v>
      </c>
      <c r="H43" s="336">
        <f>'Pensionstaxe Budget'!H58</f>
        <v>187902</v>
      </c>
    </row>
    <row r="44" spans="1:13">
      <c r="A44" s="315" t="str">
        <f>'Pensionstaxe Budget'!A59</f>
        <v>Typ Cb</v>
      </c>
      <c r="B44" s="316">
        <f>'Pensionstaxe Budget'!B59</f>
        <v>0</v>
      </c>
      <c r="C44" s="413"/>
      <c r="D44" s="335">
        <f>'Pensionstaxe Budget'!F59</f>
        <v>3252.15</v>
      </c>
      <c r="E44" s="335"/>
      <c r="F44" s="425">
        <f>'Pensionstaxe Budget'!G59</f>
        <v>139</v>
      </c>
      <c r="H44" s="336">
        <f>'Pensionstaxe Budget'!H59</f>
        <v>452048.85000000003</v>
      </c>
    </row>
    <row r="45" spans="1:13">
      <c r="A45" s="315" t="str">
        <f>'Pensionstaxe Budget'!A60</f>
        <v>Typ Db</v>
      </c>
      <c r="B45" s="316">
        <f>'Pensionstaxe Budget'!B60</f>
        <v>0</v>
      </c>
      <c r="C45" s="413"/>
      <c r="D45" s="335">
        <f>'Pensionstaxe Budget'!F60</f>
        <v>5420.25</v>
      </c>
      <c r="E45" s="335"/>
      <c r="F45" s="425">
        <f>'Pensionstaxe Budget'!G60</f>
        <v>146</v>
      </c>
      <c r="H45" s="336">
        <f>'Pensionstaxe Budget'!H60</f>
        <v>791356.5</v>
      </c>
    </row>
    <row r="46" spans="1:13">
      <c r="A46" s="315" t="str">
        <f>'Pensionstaxe Budget'!A61</f>
        <v>Typ E</v>
      </c>
      <c r="B46" s="316">
        <f>'Pensionstaxe Budget'!B61</f>
        <v>0</v>
      </c>
      <c r="C46" s="413"/>
      <c r="D46" s="335">
        <f>'Pensionstaxe Budget'!F61</f>
        <v>1084.05</v>
      </c>
      <c r="E46" s="335"/>
      <c r="F46" s="425">
        <f>'Pensionstaxe Budget'!G61</f>
        <v>138</v>
      </c>
      <c r="H46" s="336">
        <f>'Pensionstaxe Budget'!H61</f>
        <v>149598.9</v>
      </c>
    </row>
    <row r="47" spans="1:13">
      <c r="A47" s="315" t="str">
        <f>'Pensionstaxe Budget'!A62</f>
        <v>Typ F</v>
      </c>
      <c r="B47" s="316">
        <f>'Pensionstaxe Budget'!B62</f>
        <v>0</v>
      </c>
      <c r="C47" s="413"/>
      <c r="D47" s="335">
        <f>'Pensionstaxe Budget'!F62</f>
        <v>722.7</v>
      </c>
      <c r="E47" s="335"/>
      <c r="F47" s="425">
        <f>'Pensionstaxe Budget'!G62</f>
        <v>168</v>
      </c>
      <c r="H47" s="336">
        <f>'Pensionstaxe Budget'!H62</f>
        <v>121413.6</v>
      </c>
    </row>
    <row r="48" spans="1:13">
      <c r="A48" s="315" t="str">
        <f>'Pensionstaxe Budget'!A63</f>
        <v>Typ G</v>
      </c>
      <c r="B48" s="316">
        <f>'Pensionstaxe Budget'!B63</f>
        <v>0</v>
      </c>
      <c r="C48" s="413"/>
      <c r="D48" s="335">
        <f>'Pensionstaxe Budget'!F63</f>
        <v>361.35</v>
      </c>
      <c r="E48" s="335"/>
      <c r="F48" s="425">
        <f>'Pensionstaxe Budget'!G63</f>
        <v>165</v>
      </c>
      <c r="H48" s="336">
        <f>'Pensionstaxe Budget'!H63</f>
        <v>59622.750000000007</v>
      </c>
    </row>
    <row r="49" spans="1:13">
      <c r="A49" s="315" t="str">
        <f>'Pensionstaxe Budget'!A64</f>
        <v>Typ Gl</v>
      </c>
      <c r="B49" s="316">
        <f>'Pensionstaxe Budget'!B64</f>
        <v>0</v>
      </c>
      <c r="C49" s="413"/>
      <c r="D49" s="335">
        <f>'Pensionstaxe Budget'!F64</f>
        <v>361.35</v>
      </c>
      <c r="E49" s="335"/>
      <c r="F49" s="425">
        <f>'Pensionstaxe Budget'!G64</f>
        <v>118</v>
      </c>
      <c r="H49" s="336">
        <f>'Pensionstaxe Budget'!H64</f>
        <v>42639.3</v>
      </c>
    </row>
    <row r="50" spans="1:13">
      <c r="A50" s="315" t="str">
        <f>'Pensionstaxe Budget'!A65</f>
        <v>Typ L</v>
      </c>
      <c r="B50" s="316">
        <f>'Pensionstaxe Budget'!B65</f>
        <v>0</v>
      </c>
      <c r="C50" s="413"/>
      <c r="D50" s="335">
        <f>'Pensionstaxe Budget'!F65</f>
        <v>3613.5</v>
      </c>
      <c r="E50" s="335"/>
      <c r="F50" s="425">
        <f>'Pensionstaxe Budget'!G65</f>
        <v>118</v>
      </c>
      <c r="H50" s="336">
        <f>'Pensionstaxe Budget'!H65</f>
        <v>426393</v>
      </c>
    </row>
    <row r="51" spans="1:13">
      <c r="A51" s="315" t="str">
        <f>'Pensionstaxe Budget'!A66</f>
        <v>Typ M</v>
      </c>
      <c r="B51" s="316">
        <f>'Pensionstaxe Budget'!B66</f>
        <v>0</v>
      </c>
      <c r="C51" s="413"/>
      <c r="D51" s="335">
        <f>'Pensionstaxe Budget'!F66</f>
        <v>1084.05</v>
      </c>
      <c r="E51" s="335"/>
      <c r="F51" s="425">
        <f>'Pensionstaxe Budget'!G66</f>
        <v>131</v>
      </c>
      <c r="H51" s="336">
        <f>'Pensionstaxe Budget'!H66</f>
        <v>142010.54999999999</v>
      </c>
    </row>
    <row r="52" spans="1:13">
      <c r="A52" s="315" t="str">
        <f>'Pensionstaxe Budget'!A67</f>
        <v>Wohngruppe / WWD</v>
      </c>
      <c r="B52" s="316">
        <f>'Pensionstaxe Budget'!B67</f>
        <v>0</v>
      </c>
      <c r="C52" s="413"/>
      <c r="D52" s="335">
        <f>'Pensionstaxe Budget'!F67</f>
        <v>6865.65</v>
      </c>
      <c r="E52" s="335">
        <f>'Pensionstaxe Budget'!F67</f>
        <v>6865.65</v>
      </c>
      <c r="F52" s="425">
        <f>'Pensionstaxe Budget'!G67</f>
        <v>152</v>
      </c>
      <c r="H52" s="336">
        <f>'Pensionstaxe Budget'!H67</f>
        <v>1043578.7999999999</v>
      </c>
    </row>
    <row r="53" spans="1:13">
      <c r="A53" s="315" t="str">
        <f>'Pensionstaxe Budget'!A68</f>
        <v>2. Person</v>
      </c>
      <c r="B53" s="316">
        <f>'Pensionstaxe Budget'!B68</f>
        <v>0</v>
      </c>
      <c r="C53" s="413"/>
      <c r="D53" s="335">
        <f>'Pensionstaxe Budget'!F68</f>
        <v>361.35</v>
      </c>
      <c r="E53" s="335">
        <f>'Pensionstaxe Budget'!F68</f>
        <v>361.35</v>
      </c>
      <c r="F53" s="425">
        <f>'Pensionstaxe Budget'!G68</f>
        <v>98</v>
      </c>
      <c r="H53" s="336">
        <f>'Pensionstaxe Budget'!H68</f>
        <v>35412.300000000003</v>
      </c>
    </row>
    <row r="54" spans="1:13" ht="14.4" thickBot="1">
      <c r="A54" s="319" t="str">
        <f>'Pensionstaxe Budget'!A69</f>
        <v>Ferien</v>
      </c>
      <c r="B54" s="320">
        <f>'Pensionstaxe Budget'!B69</f>
        <v>0</v>
      </c>
      <c r="C54" s="415"/>
      <c r="D54" s="337">
        <f>'Pensionstaxe Budget'!F69</f>
        <v>182.5</v>
      </c>
      <c r="E54" s="337">
        <f>'Pensionstaxe Budget'!F69</f>
        <v>182.5</v>
      </c>
      <c r="F54" s="426">
        <f>'Pensionstaxe Budget'!G69</f>
        <v>170</v>
      </c>
      <c r="G54" s="286"/>
      <c r="H54" s="338">
        <f>'Pensionstaxe Budget'!H69</f>
        <v>31025</v>
      </c>
    </row>
    <row r="55" spans="1:13" ht="18.75" customHeight="1" thickBot="1">
      <c r="A55" s="416" t="s">
        <v>233</v>
      </c>
      <c r="B55" s="417"/>
      <c r="C55" s="417"/>
      <c r="D55" s="417"/>
      <c r="E55" s="417"/>
      <c r="F55" s="418"/>
      <c r="G55" s="419"/>
      <c r="H55" s="420">
        <f>SUM(H40:H54)</f>
        <v>6198908.1499999994</v>
      </c>
      <c r="K55" s="294"/>
      <c r="M55" s="294"/>
    </row>
    <row r="56" spans="1:13" ht="15.6">
      <c r="A56" s="427" t="s">
        <v>231</v>
      </c>
      <c r="B56" s="421"/>
      <c r="C56" s="421"/>
      <c r="D56" s="421"/>
      <c r="E56" s="421"/>
      <c r="F56" s="421"/>
      <c r="G56" s="421"/>
      <c r="H56" s="428"/>
    </row>
    <row r="57" spans="1:13">
      <c r="A57" s="288" t="str">
        <f>Taxen!A22</f>
        <v>Stufe 0</v>
      </c>
      <c r="D57" s="429">
        <f>'Pflegetaxe Budget'!D15</f>
        <v>730</v>
      </c>
      <c r="F57" s="430">
        <f>Taxen!B22</f>
        <v>0</v>
      </c>
      <c r="H57" s="431">
        <f>D57*F57</f>
        <v>0</v>
      </c>
    </row>
    <row r="58" spans="1:13">
      <c r="A58" s="288" t="str">
        <f>Taxen!A23</f>
        <v>Stufe 1</v>
      </c>
      <c r="D58" s="429">
        <f>'Pflegetaxe Budget'!D16</f>
        <v>7665</v>
      </c>
      <c r="F58" s="430">
        <f>Taxen!B23</f>
        <v>21</v>
      </c>
      <c r="H58" s="431">
        <f t="shared" ref="H58:H69" si="0">D58*F58</f>
        <v>160965</v>
      </c>
    </row>
    <row r="59" spans="1:13">
      <c r="A59" s="288" t="str">
        <f>Taxen!A24</f>
        <v>Stufe 2</v>
      </c>
      <c r="D59" s="429">
        <f>'Pflegetaxe Budget'!D17</f>
        <v>7300</v>
      </c>
      <c r="F59" s="430">
        <f>Taxen!B24</f>
        <v>41</v>
      </c>
      <c r="H59" s="431">
        <f t="shared" si="0"/>
        <v>299300</v>
      </c>
    </row>
    <row r="60" spans="1:13">
      <c r="A60" s="288" t="str">
        <f>Taxen!A25</f>
        <v>Stufe 3</v>
      </c>
      <c r="D60" s="429">
        <f>'Pflegetaxe Budget'!D18</f>
        <v>2555</v>
      </c>
      <c r="F60" s="430">
        <f>Taxen!B25</f>
        <v>69</v>
      </c>
      <c r="H60" s="431">
        <f t="shared" si="0"/>
        <v>176295</v>
      </c>
    </row>
    <row r="61" spans="1:13">
      <c r="A61" s="288" t="str">
        <f>Taxen!A26</f>
        <v>Stufe 4</v>
      </c>
      <c r="D61" s="429">
        <f>'Pflegetaxe Budget'!D19</f>
        <v>5110</v>
      </c>
      <c r="F61" s="430">
        <f>Taxen!B26</f>
        <v>96</v>
      </c>
      <c r="H61" s="431">
        <f t="shared" si="0"/>
        <v>490560</v>
      </c>
    </row>
    <row r="62" spans="1:13">
      <c r="A62" s="288" t="str">
        <f>Taxen!A27</f>
        <v>Stufe 5</v>
      </c>
      <c r="D62" s="429">
        <f>'Pflegetaxe Budget'!D20</f>
        <v>4015</v>
      </c>
      <c r="F62" s="430">
        <f>Taxen!B27</f>
        <v>124</v>
      </c>
      <c r="H62" s="431">
        <f t="shared" si="0"/>
        <v>497860</v>
      </c>
    </row>
    <row r="63" spans="1:13">
      <c r="A63" s="288" t="str">
        <f>Taxen!A28</f>
        <v>Stufe 6</v>
      </c>
      <c r="D63" s="429">
        <f>'Pflegetaxe Budget'!D21</f>
        <v>3285</v>
      </c>
      <c r="F63" s="430">
        <f>Taxen!B28</f>
        <v>151</v>
      </c>
      <c r="H63" s="431">
        <f t="shared" si="0"/>
        <v>496035</v>
      </c>
    </row>
    <row r="64" spans="1:13">
      <c r="A64" s="288" t="str">
        <f>Taxen!A29</f>
        <v>Stufe 7</v>
      </c>
      <c r="D64" s="429">
        <f>'Pflegetaxe Budget'!D22</f>
        <v>4015</v>
      </c>
      <c r="F64" s="430">
        <f>Taxen!B29</f>
        <v>179</v>
      </c>
      <c r="H64" s="431">
        <f t="shared" si="0"/>
        <v>718685</v>
      </c>
    </row>
    <row r="65" spans="1:13">
      <c r="A65" s="288" t="str">
        <f>Taxen!A30</f>
        <v>Stufe 8</v>
      </c>
      <c r="D65" s="429">
        <f>'Pflegetaxe Budget'!D23</f>
        <v>3285</v>
      </c>
      <c r="F65" s="430">
        <f>Taxen!B30</f>
        <v>206</v>
      </c>
      <c r="H65" s="431">
        <f t="shared" si="0"/>
        <v>676710</v>
      </c>
    </row>
    <row r="66" spans="1:13">
      <c r="A66" s="288" t="str">
        <f>Taxen!A31</f>
        <v>Stufe 9</v>
      </c>
      <c r="D66" s="429">
        <f>'Pflegetaxe Budget'!D24</f>
        <v>2190</v>
      </c>
      <c r="F66" s="430">
        <f>Taxen!B31</f>
        <v>234</v>
      </c>
      <c r="H66" s="431">
        <f t="shared" si="0"/>
        <v>512460</v>
      </c>
    </row>
    <row r="67" spans="1:13">
      <c r="A67" s="288" t="str">
        <f>Taxen!A32</f>
        <v>Stufe 10</v>
      </c>
      <c r="D67" s="429">
        <f>'Pflegetaxe Budget'!D25</f>
        <v>1825</v>
      </c>
      <c r="F67" s="430">
        <f>Taxen!B32</f>
        <v>261</v>
      </c>
      <c r="H67" s="431">
        <f t="shared" si="0"/>
        <v>476325</v>
      </c>
    </row>
    <row r="68" spans="1:13">
      <c r="A68" s="288" t="str">
        <f>Taxen!A33</f>
        <v>Stufe 11</v>
      </c>
      <c r="D68" s="429">
        <f>'Pflegetaxe Budget'!D26</f>
        <v>730</v>
      </c>
      <c r="F68" s="430">
        <f>Taxen!B33</f>
        <v>289</v>
      </c>
      <c r="H68" s="431">
        <f t="shared" si="0"/>
        <v>210970</v>
      </c>
    </row>
    <row r="69" spans="1:13">
      <c r="A69" s="288" t="str">
        <f>Taxen!A34</f>
        <v>Stufe 12</v>
      </c>
      <c r="D69" s="429">
        <f>'Pflegetaxe Budget'!D27</f>
        <v>365</v>
      </c>
      <c r="F69" s="430">
        <f>Taxen!B34</f>
        <v>316</v>
      </c>
      <c r="H69" s="431">
        <f t="shared" si="0"/>
        <v>115340</v>
      </c>
    </row>
    <row r="70" spans="1:13" ht="14.4" thickBot="1">
      <c r="A70" s="341" t="s">
        <v>232</v>
      </c>
      <c r="B70" s="286"/>
      <c r="C70" s="286"/>
      <c r="D70" s="432">
        <f>'Pflegetaxe Budget'!D30</f>
        <v>43070</v>
      </c>
      <c r="E70" s="286"/>
      <c r="F70" s="433">
        <f>'Pflegetaxe Budget'!F86</f>
        <v>41.358386752136752</v>
      </c>
      <c r="G70" s="286"/>
      <c r="H70" s="434">
        <f>D70*F70</f>
        <v>1781305.71741453</v>
      </c>
    </row>
    <row r="71" spans="1:13" ht="18.75" customHeight="1" thickBot="1">
      <c r="A71" s="416" t="s">
        <v>234</v>
      </c>
      <c r="B71" s="417"/>
      <c r="C71" s="417"/>
      <c r="D71" s="417"/>
      <c r="E71" s="417"/>
      <c r="F71" s="418"/>
      <c r="G71" s="419"/>
      <c r="H71" s="420">
        <f>SUM(H57:H70)</f>
        <v>6612810.71741453</v>
      </c>
      <c r="K71" s="294"/>
      <c r="M71" s="294"/>
    </row>
    <row r="72" spans="1:13" ht="15.6">
      <c r="A72" s="427" t="s">
        <v>235</v>
      </c>
      <c r="B72" s="421"/>
      <c r="C72" s="421"/>
      <c r="D72" s="421"/>
      <c r="E72" s="421"/>
      <c r="F72" s="421"/>
      <c r="G72" s="421"/>
      <c r="H72" s="428"/>
    </row>
    <row r="73" spans="1:13">
      <c r="A73" s="288" t="str">
        <f>'Pensionstaxe Budget'!A44</f>
        <v xml:space="preserve">Erlöse aus Leistungen für Bewohner/innen </v>
      </c>
      <c r="H73" s="440">
        <f>'Pensionstaxe Budget'!H44</f>
        <v>67000</v>
      </c>
      <c r="L73" s="294"/>
    </row>
    <row r="74" spans="1:13">
      <c r="A74" s="315" t="str">
        <f>'Pensionstaxe Budget'!A45</f>
        <v xml:space="preserve">Erlöse aus Miet- und Kapitalzinsen </v>
      </c>
      <c r="B74" s="316"/>
      <c r="C74" s="316"/>
      <c r="D74" s="316"/>
      <c r="E74" s="316"/>
      <c r="F74" s="316"/>
      <c r="G74" s="316"/>
      <c r="H74" s="440">
        <f>'Pensionstaxe Budget'!H45</f>
        <v>33000</v>
      </c>
    </row>
    <row r="75" spans="1:13">
      <c r="A75" s="315" t="str">
        <f>'Pensionstaxe Budget'!A46</f>
        <v xml:space="preserve">Erlöse aus Personal und Dritte </v>
      </c>
      <c r="B75" s="316"/>
      <c r="C75" s="316"/>
      <c r="D75" s="316"/>
      <c r="E75" s="316"/>
      <c r="F75" s="316"/>
      <c r="G75" s="316"/>
      <c r="H75" s="440">
        <f>'Pensionstaxe Budget'!H46</f>
        <v>55000</v>
      </c>
    </row>
    <row r="76" spans="1:13">
      <c r="A76" s="315" t="str">
        <f>'Pensionstaxe Budget'!A47</f>
        <v>Erlöse aus Cafeteria - Restaurant</v>
      </c>
      <c r="B76" s="316"/>
      <c r="C76" s="316"/>
      <c r="D76" s="316"/>
      <c r="E76" s="316"/>
      <c r="F76" s="316"/>
      <c r="G76" s="316"/>
      <c r="H76" s="440">
        <f>'Pensionstaxe Budget'!H47</f>
        <v>160000</v>
      </c>
    </row>
    <row r="77" spans="1:13" ht="14.4" thickBot="1">
      <c r="A77" s="288" t="str">
        <f>'Pensionstaxe Budget'!A48</f>
        <v>Erlöse aus Nebenleistungen, Verrechnungen etc.</v>
      </c>
      <c r="H77" s="440">
        <f>'Pensionstaxe Budget'!H48</f>
        <v>753000</v>
      </c>
    </row>
    <row r="78" spans="1:13" ht="18.75" customHeight="1" thickBot="1">
      <c r="A78" s="307" t="s">
        <v>236</v>
      </c>
      <c r="B78" s="308"/>
      <c r="C78" s="308"/>
      <c r="D78" s="308"/>
      <c r="E78" s="308"/>
      <c r="F78" s="308"/>
      <c r="G78" s="309"/>
      <c r="H78" s="327">
        <f>SUM(H73:H77)</f>
        <v>1068000</v>
      </c>
      <c r="K78" s="294"/>
      <c r="M78" s="294"/>
    </row>
    <row r="80" spans="1:13" ht="14.4" thickBot="1"/>
    <row r="81" spans="1:8" ht="17.399999999999999">
      <c r="A81" s="441" t="s">
        <v>237</v>
      </c>
      <c r="B81" s="442"/>
      <c r="C81" s="442"/>
      <c r="D81" s="442"/>
      <c r="E81" s="442"/>
      <c r="F81" s="442"/>
      <c r="G81" s="442"/>
      <c r="H81" s="443">
        <f>H36</f>
        <v>11817304.629871797</v>
      </c>
    </row>
    <row r="82" spans="1:8" ht="17.399999999999999">
      <c r="A82" s="444" t="s">
        <v>238</v>
      </c>
      <c r="B82" s="445"/>
      <c r="C82" s="445"/>
      <c r="D82" s="445"/>
      <c r="E82" s="445"/>
      <c r="F82" s="445"/>
      <c r="G82" s="445"/>
      <c r="H82" s="446">
        <f>H78+H71+H55</f>
        <v>13879718.86741453</v>
      </c>
    </row>
    <row r="83" spans="1:8" ht="7.5" customHeight="1">
      <c r="A83" s="444"/>
      <c r="B83" s="445"/>
      <c r="C83" s="445"/>
      <c r="D83" s="445"/>
      <c r="E83" s="445"/>
      <c r="F83" s="445"/>
      <c r="G83" s="445"/>
      <c r="H83" s="447"/>
    </row>
    <row r="84" spans="1:8" ht="18" thickBot="1">
      <c r="A84" s="448" t="s">
        <v>239</v>
      </c>
      <c r="B84" s="449"/>
      <c r="C84" s="449"/>
      <c r="D84" s="449"/>
      <c r="E84" s="449"/>
      <c r="F84" s="449"/>
      <c r="G84" s="449"/>
      <c r="H84" s="450">
        <f>H82-H81</f>
        <v>2062414.2375427336</v>
      </c>
    </row>
  </sheetData>
  <sheetProtection algorithmName="SHA-512" hashValue="RWcxn0zdaEbi7S6462lO0FOZn5t5E5X9AuQsdl1YjPi7KeqJgPFnuOwl3qFq09Fh30lezqcl2jWxWVeKmfJAaw==" saltValue="3Jk98w7Gf9CfKUfCj73ITw==" spinCount="100000" sheet="1" objects="1" scenarios="1"/>
  <mergeCells count="2">
    <mergeCell ref="A4:C4"/>
    <mergeCell ref="A38:C38"/>
  </mergeCells>
  <conditionalFormatting sqref="A73:H78 A40:C54 D40:D51 F40:F51 D52:F54 H40:H54 D56:H56 A3:H18 A20:H39 H19 A19:F19">
    <cfRule type="cellIs" dxfId="44" priority="9" operator="equal">
      <formula>0</formula>
    </cfRule>
  </conditionalFormatting>
  <conditionalFormatting sqref="A56:C56">
    <cfRule type="cellIs" dxfId="43" priority="8" operator="equal">
      <formula>0</formula>
    </cfRule>
  </conditionalFormatting>
  <conditionalFormatting sqref="A55:H55">
    <cfRule type="cellIs" dxfId="42" priority="7" operator="equal">
      <formula>0</formula>
    </cfRule>
  </conditionalFormatting>
  <conditionalFormatting sqref="A71:H71">
    <cfRule type="cellIs" dxfId="41" priority="6" operator="equal">
      <formula>0</formula>
    </cfRule>
  </conditionalFormatting>
  <conditionalFormatting sqref="H82">
    <cfRule type="cellIs" dxfId="40" priority="2" operator="equal">
      <formula>0</formula>
    </cfRule>
  </conditionalFormatting>
  <conditionalFormatting sqref="D72:H72">
    <cfRule type="cellIs" dxfId="39" priority="5" operator="equal">
      <formula>0</formula>
    </cfRule>
  </conditionalFormatting>
  <conditionalFormatting sqref="A72:C72">
    <cfRule type="cellIs" dxfId="38" priority="4" operator="equal">
      <formula>0</formula>
    </cfRule>
  </conditionalFormatting>
  <conditionalFormatting sqref="H81">
    <cfRule type="cellIs" dxfId="37" priority="3" operator="equal">
      <formula>0</formula>
    </cfRule>
  </conditionalFormatting>
  <conditionalFormatting sqref="E41:E51">
    <cfRule type="cellIs" dxfId="36" priority="1" operator="equal">
      <formula>0</formula>
    </cfRule>
  </conditionalFormatting>
  <pageMargins left="0.3" right="0.17" top="0.59055118110236227" bottom="0.59055118110236227"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FFC000"/>
    <pageSetUpPr fitToPage="1"/>
  </sheetPr>
  <dimension ref="A1:H40"/>
  <sheetViews>
    <sheetView topLeftCell="A12" zoomScaleNormal="100" workbookViewId="0">
      <selection activeCell="H43" sqref="H43"/>
    </sheetView>
  </sheetViews>
  <sheetFormatPr baseColWidth="10" defaultColWidth="11" defaultRowHeight="13.8"/>
  <cols>
    <col min="1" max="7" width="15.19921875" style="1" customWidth="1"/>
    <col min="8" max="8" width="15.3984375" customWidth="1"/>
    <col min="9" max="9" width="12.69921875" customWidth="1"/>
  </cols>
  <sheetData>
    <row r="1" spans="1:7" s="5" customFormat="1" ht="24.6">
      <c r="A1" s="185" t="s">
        <v>150</v>
      </c>
      <c r="B1" s="186"/>
      <c r="C1" s="186"/>
      <c r="D1" s="187" t="s">
        <v>151</v>
      </c>
      <c r="E1" s="188" t="str">
        <f>'Pflegetaxe Budget'!G1</f>
        <v>SCHULUNG</v>
      </c>
      <c r="F1" s="189">
        <f>'Pflegetaxe Budget'!I1:I1</f>
        <v>2024</v>
      </c>
    </row>
    <row r="2" spans="1:7" ht="14.4" thickBot="1">
      <c r="A2" s="35"/>
      <c r="F2" s="36"/>
      <c r="G2"/>
    </row>
    <row r="3" spans="1:7" ht="15.6">
      <c r="A3" s="717" t="s">
        <v>152</v>
      </c>
      <c r="B3" s="208"/>
      <c r="C3" s="208" t="s">
        <v>2</v>
      </c>
      <c r="D3" s="208" t="s">
        <v>215</v>
      </c>
      <c r="E3" s="208"/>
      <c r="F3" s="718" t="s">
        <v>90</v>
      </c>
      <c r="G3"/>
    </row>
    <row r="4" spans="1:7">
      <c r="A4" s="719" t="str">
        <f>'Pensionstaxe Budget'!A56</f>
        <v>Typ A</v>
      </c>
      <c r="B4" s="720"/>
      <c r="C4" s="721">
        <f>'Pensionstaxe Budget'!C56</f>
        <v>32</v>
      </c>
      <c r="D4" s="721">
        <f>'Pensionstaxe Budget'!D56</f>
        <v>8</v>
      </c>
      <c r="E4" s="721"/>
      <c r="F4" s="775">
        <f>'Pensionstaxe Budget'!G56</f>
        <v>142</v>
      </c>
      <c r="G4"/>
    </row>
    <row r="5" spans="1:7">
      <c r="A5" s="719" t="str">
        <f>'Pensionstaxe Budget'!A57</f>
        <v>Typ Ab</v>
      </c>
      <c r="B5" s="720"/>
      <c r="C5" s="721">
        <f>'Pensionstaxe Budget'!C57</f>
        <v>32</v>
      </c>
      <c r="D5" s="721">
        <f>'Pensionstaxe Budget'!D57</f>
        <v>44</v>
      </c>
      <c r="E5" s="721"/>
      <c r="F5" s="775">
        <f>'Pensionstaxe Budget'!G57</f>
        <v>145</v>
      </c>
      <c r="G5"/>
    </row>
    <row r="6" spans="1:7">
      <c r="A6" s="719" t="str">
        <f>'Pensionstaxe Budget'!A58</f>
        <v>Typ B</v>
      </c>
      <c r="B6" s="720"/>
      <c r="C6" s="721">
        <f>'Pensionstaxe Budget'!C58</f>
        <v>25</v>
      </c>
      <c r="D6" s="721">
        <f>'Pensionstaxe Budget'!D58</f>
        <v>4</v>
      </c>
      <c r="E6" s="721"/>
      <c r="F6" s="775">
        <f>'Pensionstaxe Budget'!G58</f>
        <v>130</v>
      </c>
      <c r="G6"/>
    </row>
    <row r="7" spans="1:7">
      <c r="A7" s="719" t="str">
        <f>'Pensionstaxe Budget'!A59</f>
        <v>Typ Cb</v>
      </c>
      <c r="B7" s="720"/>
      <c r="C7" s="721">
        <f>'Pensionstaxe Budget'!C59</f>
        <v>25</v>
      </c>
      <c r="D7" s="721">
        <f>'Pensionstaxe Budget'!D59</f>
        <v>9</v>
      </c>
      <c r="E7" s="721"/>
      <c r="F7" s="775">
        <f>'Pensionstaxe Budget'!G59</f>
        <v>139</v>
      </c>
      <c r="G7"/>
    </row>
    <row r="8" spans="1:7">
      <c r="A8" s="719" t="str">
        <f>'Pensionstaxe Budget'!A60</f>
        <v>Typ Db</v>
      </c>
      <c r="B8" s="720"/>
      <c r="C8" s="721">
        <f>'Pensionstaxe Budget'!C60</f>
        <v>30</v>
      </c>
      <c r="D8" s="721">
        <f>'Pensionstaxe Budget'!D60</f>
        <v>15</v>
      </c>
      <c r="E8" s="721"/>
      <c r="F8" s="775">
        <f>'Pensionstaxe Budget'!G60</f>
        <v>146</v>
      </c>
      <c r="G8"/>
    </row>
    <row r="9" spans="1:7">
      <c r="A9" s="719" t="str">
        <f>'Pensionstaxe Budget'!A61</f>
        <v>Typ E</v>
      </c>
      <c r="B9" s="720"/>
      <c r="C9" s="721">
        <f>'Pensionstaxe Budget'!C61</f>
        <v>30</v>
      </c>
      <c r="D9" s="721">
        <f>'Pensionstaxe Budget'!D61</f>
        <v>3</v>
      </c>
      <c r="E9" s="721"/>
      <c r="F9" s="775">
        <f>'Pensionstaxe Budget'!G61</f>
        <v>138</v>
      </c>
      <c r="G9"/>
    </row>
    <row r="10" spans="1:7">
      <c r="A10" s="719" t="str">
        <f>'Pensionstaxe Budget'!A62</f>
        <v>Typ F</v>
      </c>
      <c r="B10" s="720"/>
      <c r="C10" s="721">
        <f>'Pensionstaxe Budget'!C62</f>
        <v>40</v>
      </c>
      <c r="D10" s="721">
        <f>'Pensionstaxe Budget'!D62</f>
        <v>2</v>
      </c>
      <c r="E10" s="721"/>
      <c r="F10" s="775">
        <f>'Pensionstaxe Budget'!G62</f>
        <v>168</v>
      </c>
      <c r="G10"/>
    </row>
    <row r="11" spans="1:7">
      <c r="A11" s="719" t="str">
        <f>'Pensionstaxe Budget'!A63</f>
        <v>Typ G</v>
      </c>
      <c r="B11" s="720"/>
      <c r="C11" s="721">
        <f>'Pensionstaxe Budget'!C63</f>
        <v>38</v>
      </c>
      <c r="D11" s="721">
        <f>'Pensionstaxe Budget'!D63</f>
        <v>1</v>
      </c>
      <c r="E11" s="721"/>
      <c r="F11" s="775">
        <f>'Pensionstaxe Budget'!G63</f>
        <v>165</v>
      </c>
      <c r="G11"/>
    </row>
    <row r="12" spans="1:7">
      <c r="A12" s="719" t="str">
        <f>'Pensionstaxe Budget'!A64</f>
        <v>Typ Gl</v>
      </c>
      <c r="B12" s="720"/>
      <c r="C12" s="721">
        <f>'Pensionstaxe Budget'!C64</f>
        <v>16</v>
      </c>
      <c r="D12" s="721">
        <f>'Pensionstaxe Budget'!D64</f>
        <v>1</v>
      </c>
      <c r="E12" s="721"/>
      <c r="F12" s="775">
        <f>'Pensionstaxe Budget'!G64</f>
        <v>118</v>
      </c>
      <c r="G12"/>
    </row>
    <row r="13" spans="1:7">
      <c r="A13" s="719" t="str">
        <f>'Pensionstaxe Budget'!A65</f>
        <v>Typ L</v>
      </c>
      <c r="B13" s="720"/>
      <c r="C13" s="721">
        <f>'Pensionstaxe Budget'!C65</f>
        <v>19</v>
      </c>
      <c r="D13" s="721">
        <f>'Pensionstaxe Budget'!D65</f>
        <v>10</v>
      </c>
      <c r="E13" s="721"/>
      <c r="F13" s="775">
        <f>'Pensionstaxe Budget'!G65</f>
        <v>118</v>
      </c>
      <c r="G13"/>
    </row>
    <row r="14" spans="1:7">
      <c r="A14" s="719" t="str">
        <f>'Pensionstaxe Budget'!A66</f>
        <v>Typ M</v>
      </c>
      <c r="B14" s="720"/>
      <c r="C14" s="721">
        <f>'Pensionstaxe Budget'!C66</f>
        <v>20</v>
      </c>
      <c r="D14" s="721">
        <f>'Pensionstaxe Budget'!D66</f>
        <v>3</v>
      </c>
      <c r="E14" s="721"/>
      <c r="F14" s="775">
        <f>'Pensionstaxe Budget'!G66</f>
        <v>131</v>
      </c>
      <c r="G14"/>
    </row>
    <row r="15" spans="1:7">
      <c r="A15" s="719" t="str">
        <f>'Pensionstaxe Budget'!A67</f>
        <v>Wohngruppe / WWD</v>
      </c>
      <c r="B15" s="720"/>
      <c r="C15" s="721">
        <f>'Pensionstaxe Budget'!C67</f>
        <v>0</v>
      </c>
      <c r="D15" s="721">
        <f>'Pensionstaxe Budget'!D67</f>
        <v>19</v>
      </c>
      <c r="E15" s="721"/>
      <c r="F15" s="775">
        <f>'Pensionstaxe Budget'!G67</f>
        <v>152</v>
      </c>
      <c r="G15"/>
    </row>
    <row r="16" spans="1:7">
      <c r="A16" s="719" t="str">
        <f>'Pensionstaxe Budget'!A68</f>
        <v>2. Person</v>
      </c>
      <c r="B16" s="720"/>
      <c r="C16" s="721">
        <f>'Pensionstaxe Budget'!C68</f>
        <v>0</v>
      </c>
      <c r="D16" s="721">
        <f>'Pensionstaxe Budget'!D68</f>
        <v>1</v>
      </c>
      <c r="E16" s="721"/>
      <c r="F16" s="775">
        <f>'Pensionstaxe Budget'!G68</f>
        <v>98</v>
      </c>
      <c r="G16"/>
    </row>
    <row r="17" spans="1:8">
      <c r="A17" s="719" t="str">
        <f>'Pensionstaxe Budget'!A69</f>
        <v>Ferien</v>
      </c>
      <c r="B17" s="720"/>
      <c r="C17" s="721">
        <f>'Pensionstaxe Budget'!C69</f>
        <v>0</v>
      </c>
      <c r="D17" s="721">
        <f>'Pensionstaxe Budget'!D69</f>
        <v>1</v>
      </c>
      <c r="E17" s="721"/>
      <c r="F17" s="775">
        <f>'Pensionstaxe Budget'!G69</f>
        <v>170</v>
      </c>
      <c r="G17"/>
    </row>
    <row r="18" spans="1:8">
      <c r="A18" s="227"/>
      <c r="B18" s="104"/>
      <c r="C18" s="104"/>
      <c r="D18" s="104"/>
      <c r="E18" s="28"/>
      <c r="F18" s="722"/>
      <c r="G18"/>
    </row>
    <row r="19" spans="1:8" ht="15.6" thickBot="1">
      <c r="A19" s="35"/>
      <c r="C19" s="654"/>
      <c r="D19" s="105"/>
      <c r="E19" s="105"/>
      <c r="F19" s="212"/>
      <c r="G19"/>
      <c r="H19" s="104" t="s">
        <v>192</v>
      </c>
    </row>
    <row r="20" spans="1:8" ht="69">
      <c r="A20" s="723" t="s">
        <v>119</v>
      </c>
      <c r="B20" s="723" t="s">
        <v>324</v>
      </c>
      <c r="C20" s="655" t="s">
        <v>213</v>
      </c>
      <c r="D20" s="714" t="s">
        <v>120</v>
      </c>
      <c r="E20" s="714" t="s">
        <v>214</v>
      </c>
      <c r="F20" s="724" t="s">
        <v>121</v>
      </c>
      <c r="G20"/>
      <c r="H20" s="657" t="s">
        <v>161</v>
      </c>
    </row>
    <row r="21" spans="1:8">
      <c r="A21" s="725"/>
      <c r="B21" s="656"/>
      <c r="C21" s="656"/>
      <c r="D21" s="656"/>
      <c r="E21" s="768"/>
      <c r="F21" s="726"/>
      <c r="G21"/>
      <c r="H21" s="781"/>
    </row>
    <row r="22" spans="1:8">
      <c r="A22" s="727" t="s">
        <v>24</v>
      </c>
      <c r="B22" s="728">
        <f>IF(ISERROR(ROUND(('Pflegetaxe Budget'!B15*'Pflegetaxe Budget'!$G$71),0)),"",ROUND(('Pflegetaxe Budget'!B15*'Pflegetaxe Budget'!$G$71),0))</f>
        <v>0</v>
      </c>
      <c r="C22" s="715">
        <v>0</v>
      </c>
      <c r="D22" s="776">
        <f>IF(ISERROR(B22-C22-E22),"",B22-C22-E22)</f>
        <v>0</v>
      </c>
      <c r="E22" s="771"/>
      <c r="F22" s="778">
        <f>IF(ISERROR(ROUNDUP('Pflegetaxe Budget'!$G$91,1)),"",ROUNDUP('Pflegetaxe Budget'!$G$91,1))</f>
        <v>37.9</v>
      </c>
      <c r="G22"/>
      <c r="H22" s="782">
        <f>IF(ISERROR($F$36+F22+E22),"",$F$36+F22+E22)</f>
        <v>180.2580050293378</v>
      </c>
    </row>
    <row r="23" spans="1:8">
      <c r="A23" s="727" t="s">
        <v>23</v>
      </c>
      <c r="B23" s="728">
        <f>IF(ISERROR(ROUND(('Pflegetaxe Budget'!B16*'Pflegetaxe Budget'!$G$71),0)),"",ROUND(('Pflegetaxe Budget'!B16*'Pflegetaxe Budget'!$G$71),0))</f>
        <v>21</v>
      </c>
      <c r="C23" s="715">
        <v>9.6</v>
      </c>
      <c r="D23" s="776">
        <f t="shared" ref="D23:D33" si="0">IF(ISERROR(B23-C23-E23),"",B23-C23-E23)</f>
        <v>0</v>
      </c>
      <c r="E23" s="769">
        <f>IF(ISERROR(IF(B23-C23&lt;11.5,B23-C23,11.5)),"",IF(B23-C23&lt;11.5,B23-C23,11.5))</f>
        <v>11.4</v>
      </c>
      <c r="F23" s="778">
        <f>IF(ISERROR(ROUNDUP('Pflegetaxe Budget'!$G$91,1)),"",ROUNDUP('Pflegetaxe Budget'!$G$91,1))</f>
        <v>37.9</v>
      </c>
      <c r="G23"/>
      <c r="H23" s="782">
        <f t="shared" ref="H23:H34" si="1">IF(ISERROR($F$36+F23+E23),"",$F$36+F23+E23)</f>
        <v>191.6580050293378</v>
      </c>
    </row>
    <row r="24" spans="1:8">
      <c r="A24" s="727" t="s">
        <v>22</v>
      </c>
      <c r="B24" s="728">
        <f>IF(ISERROR(ROUND(('Pflegetaxe Budget'!B17*'Pflegetaxe Budget'!$G$71),0)),"",ROUND(('Pflegetaxe Budget'!B17*'Pflegetaxe Budget'!$G$71),0))</f>
        <v>41</v>
      </c>
      <c r="C24" s="715">
        <f>+$C$23*2</f>
        <v>19.2</v>
      </c>
      <c r="D24" s="776">
        <f t="shared" si="0"/>
        <v>10.3</v>
      </c>
      <c r="E24" s="769">
        <f>IF(ISERROR(IF(B24-C24&lt;11.5,B24-C24,11.5)),"",IF(B24-C24&lt;11.5,B24-C24,11.5))</f>
        <v>11.5</v>
      </c>
      <c r="F24" s="778">
        <f>IF(ISERROR(ROUNDUP('Pflegetaxe Budget'!$G$91,1)),"",ROUNDUP('Pflegetaxe Budget'!$G$91,1))</f>
        <v>37.9</v>
      </c>
      <c r="G24"/>
      <c r="H24" s="782">
        <f t="shared" si="1"/>
        <v>191.7580050293378</v>
      </c>
    </row>
    <row r="25" spans="1:8">
      <c r="A25" s="727" t="s">
        <v>21</v>
      </c>
      <c r="B25" s="728">
        <f>IF(ISERROR(ROUND(('Pflegetaxe Budget'!B18*'Pflegetaxe Budget'!$G$71),0)),"",ROUND(('Pflegetaxe Budget'!B18*'Pflegetaxe Budget'!$G$71),0))</f>
        <v>69</v>
      </c>
      <c r="C25" s="715">
        <f>+$C$23*3</f>
        <v>28.799999999999997</v>
      </c>
      <c r="D25" s="776">
        <f t="shared" si="0"/>
        <v>28.700000000000003</v>
      </c>
      <c r="E25" s="769">
        <v>11.5</v>
      </c>
      <c r="F25" s="778">
        <f>IF(ISERROR(ROUNDUP('Pflegetaxe Budget'!$G$91,1)),"",ROUNDUP('Pflegetaxe Budget'!$G$91,1))</f>
        <v>37.9</v>
      </c>
      <c r="G25"/>
      <c r="H25" s="782">
        <f t="shared" si="1"/>
        <v>191.7580050293378</v>
      </c>
    </row>
    <row r="26" spans="1:8">
      <c r="A26" s="727" t="s">
        <v>20</v>
      </c>
      <c r="B26" s="728">
        <f>IF(ISERROR(ROUND(('Pflegetaxe Budget'!B19*'Pflegetaxe Budget'!$G$71),0)),"",ROUND(('Pflegetaxe Budget'!B19*'Pflegetaxe Budget'!$G$71),0))</f>
        <v>96</v>
      </c>
      <c r="C26" s="715">
        <f>+$C$23*4</f>
        <v>38.4</v>
      </c>
      <c r="D26" s="776">
        <f t="shared" si="0"/>
        <v>46.1</v>
      </c>
      <c r="E26" s="769">
        <v>11.5</v>
      </c>
      <c r="F26" s="778">
        <f>IF(ISERROR(ROUNDUP('Pflegetaxe Budget'!$G$91,1)),"",ROUNDUP('Pflegetaxe Budget'!$G$91,1))</f>
        <v>37.9</v>
      </c>
      <c r="G26"/>
      <c r="H26" s="782">
        <f t="shared" si="1"/>
        <v>191.7580050293378</v>
      </c>
    </row>
    <row r="27" spans="1:8">
      <c r="A27" s="727" t="s">
        <v>19</v>
      </c>
      <c r="B27" s="728">
        <f>IF(ISERROR(ROUND(('Pflegetaxe Budget'!B20*'Pflegetaxe Budget'!$G$71),0)),"",ROUND(('Pflegetaxe Budget'!B20*'Pflegetaxe Budget'!$G$71),0))</f>
        <v>124</v>
      </c>
      <c r="C27" s="715">
        <f>+$C$23*5</f>
        <v>48</v>
      </c>
      <c r="D27" s="776">
        <f t="shared" si="0"/>
        <v>53</v>
      </c>
      <c r="E27" s="769">
        <v>23</v>
      </c>
      <c r="F27" s="778">
        <f>IF(ISERROR(ROUNDUP('Pflegetaxe Budget'!$G$91,1)),"",ROUNDUP('Pflegetaxe Budget'!$G$91,1))</f>
        <v>37.9</v>
      </c>
      <c r="G27"/>
      <c r="H27" s="782">
        <f t="shared" si="1"/>
        <v>203.2580050293378</v>
      </c>
    </row>
    <row r="28" spans="1:8">
      <c r="A28" s="727" t="s">
        <v>18</v>
      </c>
      <c r="B28" s="728">
        <f>IF(ISERROR(ROUND(('Pflegetaxe Budget'!B21*'Pflegetaxe Budget'!$G$71),0)),"",ROUND(('Pflegetaxe Budget'!B21*'Pflegetaxe Budget'!$G$71),0))</f>
        <v>151</v>
      </c>
      <c r="C28" s="715">
        <f>+$C$23*6</f>
        <v>57.599999999999994</v>
      </c>
      <c r="D28" s="776">
        <f t="shared" si="0"/>
        <v>70.400000000000006</v>
      </c>
      <c r="E28" s="769">
        <v>23</v>
      </c>
      <c r="F28" s="778">
        <f>IF(ISERROR(ROUNDUP('Pflegetaxe Budget'!$G$91,1)),"",ROUNDUP('Pflegetaxe Budget'!$G$91,1))</f>
        <v>37.9</v>
      </c>
      <c r="G28"/>
      <c r="H28" s="782">
        <f t="shared" si="1"/>
        <v>203.2580050293378</v>
      </c>
    </row>
    <row r="29" spans="1:8">
      <c r="A29" s="727" t="s">
        <v>17</v>
      </c>
      <c r="B29" s="728">
        <f>IF(ISERROR(ROUND(('Pflegetaxe Budget'!B22*'Pflegetaxe Budget'!$G$71),0)),"",ROUND(('Pflegetaxe Budget'!B22*'Pflegetaxe Budget'!$G$71),0))</f>
        <v>179</v>
      </c>
      <c r="C29" s="715">
        <f>+$C$23*7</f>
        <v>67.2</v>
      </c>
      <c r="D29" s="776">
        <f t="shared" si="0"/>
        <v>88.8</v>
      </c>
      <c r="E29" s="769">
        <v>23</v>
      </c>
      <c r="F29" s="778">
        <f>IF(ISERROR(ROUNDUP('Pflegetaxe Budget'!$G$91,1)),"",ROUNDUP('Pflegetaxe Budget'!$G$91,1))</f>
        <v>37.9</v>
      </c>
      <c r="G29"/>
      <c r="H29" s="782">
        <f t="shared" si="1"/>
        <v>203.2580050293378</v>
      </c>
    </row>
    <row r="30" spans="1:8">
      <c r="A30" s="727" t="s">
        <v>16</v>
      </c>
      <c r="B30" s="728">
        <f>IF(ISERROR(ROUND(('Pflegetaxe Budget'!B23*'Pflegetaxe Budget'!$G$71),0)),"",ROUND(('Pflegetaxe Budget'!B23*'Pflegetaxe Budget'!$G$71),0))</f>
        <v>206</v>
      </c>
      <c r="C30" s="715">
        <f>+$C$23*8</f>
        <v>76.8</v>
      </c>
      <c r="D30" s="776">
        <f t="shared" si="0"/>
        <v>106.19999999999999</v>
      </c>
      <c r="E30" s="769">
        <v>23</v>
      </c>
      <c r="F30" s="778">
        <f>IF(ISERROR(ROUNDUP('Pflegetaxe Budget'!$G$91,1)),"",ROUNDUP('Pflegetaxe Budget'!$G$91,1))</f>
        <v>37.9</v>
      </c>
      <c r="G30"/>
      <c r="H30" s="782">
        <f t="shared" si="1"/>
        <v>203.2580050293378</v>
      </c>
    </row>
    <row r="31" spans="1:8">
      <c r="A31" s="727" t="s">
        <v>15</v>
      </c>
      <c r="B31" s="728">
        <f>IF(ISERROR(ROUND(('Pflegetaxe Budget'!B24*'Pflegetaxe Budget'!$G$71),0)),"",(ROUND(('Pflegetaxe Budget'!B24*'Pflegetaxe Budget'!$G$71),0)))</f>
        <v>234</v>
      </c>
      <c r="C31" s="715">
        <f>+$C$23*9</f>
        <v>86.399999999999991</v>
      </c>
      <c r="D31" s="776">
        <f t="shared" si="0"/>
        <v>124.60000000000002</v>
      </c>
      <c r="E31" s="769">
        <v>23</v>
      </c>
      <c r="F31" s="778">
        <f>IF(ISERROR(ROUNDUP('Pflegetaxe Budget'!$G$91,1)),"",ROUNDUP('Pflegetaxe Budget'!$G$91,1))</f>
        <v>37.9</v>
      </c>
      <c r="G31"/>
      <c r="H31" s="782">
        <f t="shared" si="1"/>
        <v>203.2580050293378</v>
      </c>
    </row>
    <row r="32" spans="1:8">
      <c r="A32" s="727" t="s">
        <v>14</v>
      </c>
      <c r="B32" s="728">
        <f>IF(ISERROR(ROUND(('Pflegetaxe Budget'!B25*'Pflegetaxe Budget'!$G$71),0)),"",(ROUND(('Pflegetaxe Budget'!B25*'Pflegetaxe Budget'!$G$71),0)))</f>
        <v>261</v>
      </c>
      <c r="C32" s="715">
        <f>+$C$23*10</f>
        <v>96</v>
      </c>
      <c r="D32" s="776">
        <f t="shared" si="0"/>
        <v>142</v>
      </c>
      <c r="E32" s="769">
        <v>23</v>
      </c>
      <c r="F32" s="778">
        <f>IF(ISERROR(ROUNDUP('Pflegetaxe Budget'!$G$91,1)),"",ROUNDUP('Pflegetaxe Budget'!$G$91,1))</f>
        <v>37.9</v>
      </c>
      <c r="G32"/>
      <c r="H32" s="782">
        <f t="shared" si="1"/>
        <v>203.2580050293378</v>
      </c>
    </row>
    <row r="33" spans="1:8">
      <c r="A33" s="727" t="s">
        <v>13</v>
      </c>
      <c r="B33" s="728">
        <f>IF(ISERROR(ROUND(('Pflegetaxe Budget'!B26*'Pflegetaxe Budget'!$G$71),0)),"",ROUND(('Pflegetaxe Budget'!B26*'Pflegetaxe Budget'!$G$71),0))</f>
        <v>289</v>
      </c>
      <c r="C33" s="715">
        <f>+$C$23*11</f>
        <v>105.6</v>
      </c>
      <c r="D33" s="776">
        <f t="shared" si="0"/>
        <v>160.4</v>
      </c>
      <c r="E33" s="769">
        <v>23</v>
      </c>
      <c r="F33" s="778">
        <f>IF(ISERROR(ROUNDUP('Pflegetaxe Budget'!$G$91,1)),"",ROUNDUP('Pflegetaxe Budget'!$G$91,1))</f>
        <v>37.9</v>
      </c>
      <c r="G33"/>
      <c r="H33" s="782">
        <f>IF(ISERROR($F$36+F34+E34),"",$F$36+F34+E34)</f>
        <v>203.2580050293378</v>
      </c>
    </row>
    <row r="34" spans="1:8" ht="14.4" thickBot="1">
      <c r="A34" s="729" t="s">
        <v>12</v>
      </c>
      <c r="B34" s="730">
        <f>IF(ISERROR(ROUND(('Pflegetaxe Budget'!B27*'Pflegetaxe Budget'!$G$71),0)),"",ROUND(('Pflegetaxe Budget'!B27*'Pflegetaxe Budget'!$G$71),0))</f>
        <v>316</v>
      </c>
      <c r="C34" s="716">
        <f>+$C$23*12</f>
        <v>115.19999999999999</v>
      </c>
      <c r="D34" s="777">
        <f>IF(ISERROR(B34-C34-E34),"",B34-C34-E34)</f>
        <v>177.8</v>
      </c>
      <c r="E34" s="770">
        <v>23</v>
      </c>
      <c r="F34" s="779">
        <f>IF(ISERROR(ROUNDUP('Pflegetaxe Budget'!$G$91,1)),"",ROUNDUP('Pflegetaxe Budget'!$G$91,1))</f>
        <v>37.9</v>
      </c>
      <c r="G34"/>
      <c r="H34" s="782">
        <f t="shared" si="1"/>
        <v>203.2580050293378</v>
      </c>
    </row>
    <row r="35" spans="1:8" ht="14.4" thickBot="1">
      <c r="A35" s="35"/>
    </row>
    <row r="36" spans="1:8" ht="16.2" thickBot="1">
      <c r="A36" s="176" t="s">
        <v>160</v>
      </c>
      <c r="B36" s="177"/>
      <c r="C36" s="177"/>
      <c r="D36" s="177"/>
      <c r="E36" s="177"/>
      <c r="F36" s="780">
        <f>'Pensionstaxe Budget'!H71</f>
        <v>142.35800502933779</v>
      </c>
      <c r="G36"/>
    </row>
    <row r="37" spans="1:8" ht="14.4" thickBot="1">
      <c r="A37" s="35"/>
      <c r="F37" s="36"/>
      <c r="G37"/>
    </row>
    <row r="38" spans="1:8" ht="16.2" thickBot="1">
      <c r="A38" s="176" t="s">
        <v>135</v>
      </c>
      <c r="B38" s="177"/>
      <c r="C38" s="177"/>
      <c r="D38" s="177"/>
      <c r="E38" s="177"/>
      <c r="F38" s="780">
        <f>'Pensionstaxe Budget'!H52</f>
        <v>150.43186020715731</v>
      </c>
      <c r="G38"/>
    </row>
    <row r="39" spans="1:8" ht="14.4" thickBot="1">
      <c r="G39"/>
    </row>
    <row r="40" spans="1:8" ht="16.2" thickBot="1">
      <c r="A40" s="176" t="s">
        <v>323</v>
      </c>
      <c r="B40" s="177"/>
      <c r="C40" s="177"/>
      <c r="D40" s="177"/>
      <c r="E40" s="177"/>
      <c r="F40" s="780">
        <f>IF(ISERROR(F38+F22),"",F38+F22)</f>
        <v>188.33186020715732</v>
      </c>
    </row>
  </sheetData>
  <sheetProtection algorithmName="SHA-512" hashValue="LPS1INsFFxQXRTxRN2tD5UCaNCLToitJxNCU48c6pSJ2AvK39dgQbCtNdUEjBTw2e04LJ84a7yDD5k0ZK+w+uw==" saltValue="e1i2ChLdurZj8TtE5gthYg==" spinCount="100000" sheet="1" objects="1" scenarios="1"/>
  <conditionalFormatting sqref="D22:D34">
    <cfRule type="cellIs" dxfId="35" priority="2" operator="greaterThan">
      <formula>0.001</formula>
    </cfRule>
  </conditionalFormatting>
  <conditionalFormatting sqref="E23:E24">
    <cfRule type="cellIs" dxfId="34" priority="1" operator="equal">
      <formula>0</formula>
    </cfRule>
  </conditionalFormatting>
  <pageMargins left="0.39370078740157483" right="0.39370078740157483" top="0.59055118110236227" bottom="0.59055118110236227" header="0.31496062992125984" footer="0.31496062992125984"/>
  <pageSetup paperSize="9" scale="72" orientation="portrait" r:id="rId1"/>
  <ignoredErrors>
    <ignoredError sqref="H33"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7030A0"/>
  </sheetPr>
  <dimension ref="A1:G104"/>
  <sheetViews>
    <sheetView topLeftCell="A67" zoomScale="90" zoomScaleNormal="90" workbookViewId="0">
      <selection activeCell="D100" sqref="D100"/>
    </sheetView>
  </sheetViews>
  <sheetFormatPr baseColWidth="10" defaultColWidth="11" defaultRowHeight="15"/>
  <cols>
    <col min="1" max="1" width="38.09765625" style="3" customWidth="1"/>
    <col min="2" max="2" width="14" style="351" customWidth="1"/>
    <col min="3" max="3" width="14.59765625" style="352" customWidth="1"/>
    <col min="4" max="4" width="14.59765625" style="28" customWidth="1"/>
    <col min="5" max="5" width="13" style="28" customWidth="1"/>
    <col min="6" max="6" width="13.59765625" style="3" customWidth="1"/>
  </cols>
  <sheetData>
    <row r="1" spans="1:6" ht="24.6">
      <c r="A1" s="203" t="s">
        <v>128</v>
      </c>
      <c r="B1" s="347"/>
      <c r="C1" s="348" t="s">
        <v>151</v>
      </c>
      <c r="D1" s="210" t="str">
        <f>'Pflegetaxe Budget'!G1</f>
        <v>SCHULUNG</v>
      </c>
      <c r="E1" s="210"/>
      <c r="F1" s="211">
        <f>'Pflegetaxe Budget'!I1:I1</f>
        <v>2024</v>
      </c>
    </row>
    <row r="2" spans="1:6">
      <c r="A2" s="66"/>
      <c r="B2" s="349"/>
      <c r="C2" s="350"/>
      <c r="D2" s="213"/>
      <c r="E2" s="214"/>
      <c r="F2" s="215"/>
    </row>
    <row r="3" spans="1:6" ht="13.8">
      <c r="A3" s="216"/>
      <c r="B3" s="242" t="s">
        <v>271</v>
      </c>
      <c r="C3" s="243" t="s">
        <v>262</v>
      </c>
      <c r="D3" s="18" t="s">
        <v>272</v>
      </c>
      <c r="E3" s="18" t="s">
        <v>273</v>
      </c>
      <c r="F3" s="217" t="s">
        <v>274</v>
      </c>
    </row>
    <row r="4" spans="1:6" ht="13.8">
      <c r="A4" s="218" t="s">
        <v>129</v>
      </c>
      <c r="B4" s="244" t="s">
        <v>217</v>
      </c>
      <c r="C4" s="245" t="s">
        <v>217</v>
      </c>
      <c r="D4" s="19"/>
      <c r="E4" s="20"/>
      <c r="F4" s="219"/>
    </row>
    <row r="5" spans="1:6" ht="13.8">
      <c r="A5" s="220" t="s">
        <v>130</v>
      </c>
      <c r="B5" s="246"/>
      <c r="C5" s="246"/>
      <c r="E5" s="195" t="e">
        <f>Vergleiche!H18/B5-100%</f>
        <v>#DIV/0!</v>
      </c>
      <c r="F5" s="221" t="e">
        <f>Vergleiche!H18/C5-100%</f>
        <v>#DIV/0!</v>
      </c>
    </row>
    <row r="6" spans="1:6" ht="13.8">
      <c r="A6" s="222" t="s">
        <v>131</v>
      </c>
      <c r="B6" s="247"/>
      <c r="C6" s="247"/>
      <c r="E6" s="196" t="e">
        <f>Vergleiche!H21/B6-100%</f>
        <v>#DIV/0!</v>
      </c>
      <c r="F6" s="223" t="e">
        <f>Vergleiche!H21/C6-100%</f>
        <v>#DIV/0!</v>
      </c>
    </row>
    <row r="7" spans="1:6" ht="13.8">
      <c r="A7" s="224" t="s">
        <v>24</v>
      </c>
      <c r="B7" s="248"/>
      <c r="C7" s="248"/>
      <c r="D7" s="152">
        <f>'Pflegetaxe Budget'!D15</f>
        <v>730</v>
      </c>
      <c r="E7" s="197" t="e">
        <f>D7/B7-100%</f>
        <v>#DIV/0!</v>
      </c>
      <c r="F7" s="225" t="e">
        <f t="shared" ref="F7:F19" si="0">D7/C7-100%</f>
        <v>#DIV/0!</v>
      </c>
    </row>
    <row r="8" spans="1:6" ht="13.8">
      <c r="A8" s="226" t="s">
        <v>23</v>
      </c>
      <c r="B8" s="248"/>
      <c r="C8" s="248"/>
      <c r="D8" s="152">
        <f>'Pflegetaxe Budget'!D16</f>
        <v>7665</v>
      </c>
      <c r="E8" s="197" t="e">
        <f t="shared" ref="E8:E19" si="1">D8/B8-100%</f>
        <v>#DIV/0!</v>
      </c>
      <c r="F8" s="225" t="e">
        <f t="shared" si="0"/>
        <v>#DIV/0!</v>
      </c>
    </row>
    <row r="9" spans="1:6" ht="13.8">
      <c r="A9" s="226" t="s">
        <v>22</v>
      </c>
      <c r="B9" s="248"/>
      <c r="C9" s="248"/>
      <c r="D9" s="152">
        <f>'Pflegetaxe Budget'!D17</f>
        <v>7300</v>
      </c>
      <c r="E9" s="197" t="e">
        <f t="shared" si="1"/>
        <v>#DIV/0!</v>
      </c>
      <c r="F9" s="225" t="e">
        <f t="shared" si="0"/>
        <v>#DIV/0!</v>
      </c>
    </row>
    <row r="10" spans="1:6" ht="13.8">
      <c r="A10" s="226" t="s">
        <v>21</v>
      </c>
      <c r="B10" s="248"/>
      <c r="C10" s="248"/>
      <c r="D10" s="152">
        <f>'Pflegetaxe Budget'!D18</f>
        <v>2555</v>
      </c>
      <c r="E10" s="197" t="e">
        <f>D10/B10-100%</f>
        <v>#DIV/0!</v>
      </c>
      <c r="F10" s="225" t="e">
        <f t="shared" si="0"/>
        <v>#DIV/0!</v>
      </c>
    </row>
    <row r="11" spans="1:6" ht="13.8">
      <c r="A11" s="226" t="s">
        <v>20</v>
      </c>
      <c r="B11" s="248"/>
      <c r="C11" s="248"/>
      <c r="D11" s="152">
        <f>'Pflegetaxe Budget'!D19</f>
        <v>5110</v>
      </c>
      <c r="E11" s="197" t="e">
        <f t="shared" si="1"/>
        <v>#DIV/0!</v>
      </c>
      <c r="F11" s="225" t="e">
        <f t="shared" si="0"/>
        <v>#DIV/0!</v>
      </c>
    </row>
    <row r="12" spans="1:6" ht="13.8">
      <c r="A12" s="226" t="s">
        <v>19</v>
      </c>
      <c r="B12" s="248"/>
      <c r="C12" s="248"/>
      <c r="D12" s="152">
        <f>'Pflegetaxe Budget'!D20</f>
        <v>4015</v>
      </c>
      <c r="E12" s="197" t="e">
        <f t="shared" si="1"/>
        <v>#DIV/0!</v>
      </c>
      <c r="F12" s="225" t="e">
        <f t="shared" si="0"/>
        <v>#DIV/0!</v>
      </c>
    </row>
    <row r="13" spans="1:6" ht="13.8">
      <c r="A13" s="226" t="s">
        <v>18</v>
      </c>
      <c r="B13" s="248"/>
      <c r="C13" s="248"/>
      <c r="D13" s="152">
        <f>'Pflegetaxe Budget'!D21</f>
        <v>3285</v>
      </c>
      <c r="E13" s="197" t="e">
        <f t="shared" si="1"/>
        <v>#DIV/0!</v>
      </c>
      <c r="F13" s="225" t="e">
        <f t="shared" si="0"/>
        <v>#DIV/0!</v>
      </c>
    </row>
    <row r="14" spans="1:6" ht="13.8">
      <c r="A14" s="226" t="s">
        <v>17</v>
      </c>
      <c r="B14" s="248"/>
      <c r="C14" s="248"/>
      <c r="D14" s="152">
        <f>'Pflegetaxe Budget'!D22</f>
        <v>4015</v>
      </c>
      <c r="E14" s="197" t="e">
        <f t="shared" si="1"/>
        <v>#DIV/0!</v>
      </c>
      <c r="F14" s="225" t="e">
        <f t="shared" si="0"/>
        <v>#DIV/0!</v>
      </c>
    </row>
    <row r="15" spans="1:6" ht="13.8">
      <c r="A15" s="226" t="s">
        <v>16</v>
      </c>
      <c r="B15" s="248"/>
      <c r="C15" s="248"/>
      <c r="D15" s="152">
        <f>'Pflegetaxe Budget'!D23</f>
        <v>3285</v>
      </c>
      <c r="E15" s="197" t="e">
        <f t="shared" si="1"/>
        <v>#DIV/0!</v>
      </c>
      <c r="F15" s="225" t="e">
        <f t="shared" si="0"/>
        <v>#DIV/0!</v>
      </c>
    </row>
    <row r="16" spans="1:6" ht="13.8">
      <c r="A16" s="226" t="s">
        <v>15</v>
      </c>
      <c r="B16" s="248"/>
      <c r="C16" s="248"/>
      <c r="D16" s="152">
        <f>'Pflegetaxe Budget'!D24</f>
        <v>2190</v>
      </c>
      <c r="E16" s="197" t="e">
        <f t="shared" si="1"/>
        <v>#DIV/0!</v>
      </c>
      <c r="F16" s="225" t="e">
        <f t="shared" si="0"/>
        <v>#DIV/0!</v>
      </c>
    </row>
    <row r="17" spans="1:6" ht="13.8">
      <c r="A17" s="226" t="s">
        <v>14</v>
      </c>
      <c r="B17" s="248"/>
      <c r="C17" s="248"/>
      <c r="D17" s="152">
        <f>'Pflegetaxe Budget'!D25</f>
        <v>1825</v>
      </c>
      <c r="E17" s="197" t="e">
        <f t="shared" si="1"/>
        <v>#DIV/0!</v>
      </c>
      <c r="F17" s="225" t="e">
        <f t="shared" si="0"/>
        <v>#DIV/0!</v>
      </c>
    </row>
    <row r="18" spans="1:6" ht="13.8">
      <c r="A18" s="226" t="s">
        <v>13</v>
      </c>
      <c r="B18" s="248"/>
      <c r="C18" s="248"/>
      <c r="D18" s="152">
        <f>'Pflegetaxe Budget'!D26</f>
        <v>730</v>
      </c>
      <c r="E18" s="197" t="e">
        <f t="shared" si="1"/>
        <v>#DIV/0!</v>
      </c>
      <c r="F18" s="225" t="e">
        <f t="shared" si="0"/>
        <v>#DIV/0!</v>
      </c>
    </row>
    <row r="19" spans="1:6" ht="13.8">
      <c r="A19" s="226" t="s">
        <v>12</v>
      </c>
      <c r="B19" s="248"/>
      <c r="C19" s="248"/>
      <c r="D19" s="152">
        <f>'Pflegetaxe Budget'!D27</f>
        <v>365</v>
      </c>
      <c r="E19" s="197" t="e">
        <f t="shared" si="1"/>
        <v>#DIV/0!</v>
      </c>
      <c r="F19" s="225" t="e">
        <f t="shared" si="0"/>
        <v>#DIV/0!</v>
      </c>
    </row>
    <row r="20" spans="1:6" ht="13.8">
      <c r="A20" s="227"/>
      <c r="B20" s="249"/>
      <c r="C20" s="249"/>
      <c r="D20" s="22"/>
      <c r="E20" s="22"/>
      <c r="F20" s="228"/>
    </row>
    <row r="21" spans="1:6" ht="13.8">
      <c r="A21" s="229" t="s">
        <v>132</v>
      </c>
      <c r="B21" s="30" t="str">
        <f t="shared" ref="B21:F21" si="2">B3</f>
        <v>Rechnung 2017</v>
      </c>
      <c r="C21" s="30" t="str">
        <f t="shared" si="2"/>
        <v>Budget 2018</v>
      </c>
      <c r="D21" s="30" t="str">
        <f t="shared" si="2"/>
        <v>Budget 2019</v>
      </c>
      <c r="E21" s="30" t="str">
        <f t="shared" si="2"/>
        <v>Δ 2019 zu 2017</v>
      </c>
      <c r="F21" s="230" t="str">
        <f t="shared" si="2"/>
        <v>Δ 201 zu B2018</v>
      </c>
    </row>
    <row r="22" spans="1:6" ht="13.8">
      <c r="A22" s="220" t="s">
        <v>133</v>
      </c>
      <c r="B22" s="250"/>
      <c r="C22" s="250"/>
      <c r="D22" s="153">
        <f>'Pflegetaxe Budget'!G71</f>
        <v>1.3744176965317787</v>
      </c>
      <c r="E22" s="195" t="e">
        <f>D22/B22-100%</f>
        <v>#DIV/0!</v>
      </c>
      <c r="F22" s="221" t="e">
        <f>D22/C22-100%</f>
        <v>#DIV/0!</v>
      </c>
    </row>
    <row r="23" spans="1:6" ht="13.8">
      <c r="A23" s="224" t="s">
        <v>24</v>
      </c>
      <c r="B23" s="251"/>
      <c r="C23" s="251"/>
      <c r="D23" s="24">
        <f>'Pflegetaxe Budget'!B15*'Pflegetaxe Budget'!$G$71</f>
        <v>0</v>
      </c>
      <c r="E23" s="197" t="e">
        <f>D23/B23-100%</f>
        <v>#DIV/0!</v>
      </c>
      <c r="F23" s="225" t="e">
        <f>D23/C23-100%</f>
        <v>#DIV/0!</v>
      </c>
    </row>
    <row r="24" spans="1:6" ht="13.8">
      <c r="A24" s="224" t="s">
        <v>23</v>
      </c>
      <c r="B24" s="251"/>
      <c r="C24" s="251"/>
      <c r="E24" s="197" t="e">
        <f>Vergleiche!H25/B24-100%</f>
        <v>#DIV/0!</v>
      </c>
      <c r="F24" s="225" t="e">
        <f>Vergleiche!H25/C24-100%</f>
        <v>#DIV/0!</v>
      </c>
    </row>
    <row r="25" spans="1:6" ht="13.8">
      <c r="A25" s="224" t="s">
        <v>22</v>
      </c>
      <c r="B25" s="251"/>
      <c r="C25" s="251"/>
      <c r="E25" s="197" t="e">
        <f>Vergleiche!H26/B25-100%</f>
        <v>#DIV/0!</v>
      </c>
      <c r="F25" s="225" t="e">
        <f>Vergleiche!H26/C25-100%</f>
        <v>#DIV/0!</v>
      </c>
    </row>
    <row r="26" spans="1:6" ht="13.8">
      <c r="A26" s="224" t="s">
        <v>21</v>
      </c>
      <c r="B26" s="251"/>
      <c r="C26" s="251"/>
      <c r="E26" s="197" t="e">
        <f>Vergleiche!H27/B26-100%</f>
        <v>#DIV/0!</v>
      </c>
      <c r="F26" s="225" t="e">
        <f>Vergleiche!H27/C26-100%</f>
        <v>#DIV/0!</v>
      </c>
    </row>
    <row r="27" spans="1:6" ht="13.8">
      <c r="A27" s="224" t="s">
        <v>20</v>
      </c>
      <c r="B27" s="251"/>
      <c r="C27" s="251"/>
      <c r="E27" s="197" t="e">
        <f>Vergleiche!H28/B27-100%</f>
        <v>#DIV/0!</v>
      </c>
      <c r="F27" s="225" t="e">
        <f>Vergleiche!H28/C27-100%</f>
        <v>#DIV/0!</v>
      </c>
    </row>
    <row r="28" spans="1:6" ht="13.8">
      <c r="A28" s="224" t="s">
        <v>19</v>
      </c>
      <c r="B28" s="251"/>
      <c r="C28" s="251"/>
      <c r="E28" s="197" t="e">
        <f>Vergleiche!H29/B28-100%</f>
        <v>#DIV/0!</v>
      </c>
      <c r="F28" s="225" t="e">
        <f>Vergleiche!H29/C28-100%</f>
        <v>#DIV/0!</v>
      </c>
    </row>
    <row r="29" spans="1:6" ht="13.8">
      <c r="A29" s="224" t="s">
        <v>18</v>
      </c>
      <c r="B29" s="251"/>
      <c r="C29" s="251"/>
      <c r="E29" s="197" t="e">
        <f>Vergleiche!H30/B29-100%</f>
        <v>#DIV/0!</v>
      </c>
      <c r="F29" s="225" t="e">
        <f>Vergleiche!H30/C29-100%</f>
        <v>#DIV/0!</v>
      </c>
    </row>
    <row r="30" spans="1:6" ht="13.8">
      <c r="A30" s="224" t="s">
        <v>17</v>
      </c>
      <c r="B30" s="251"/>
      <c r="C30" s="251"/>
      <c r="E30" s="197" t="e">
        <f>Vergleiche!H31/B30-100%</f>
        <v>#DIV/0!</v>
      </c>
      <c r="F30" s="225" t="e">
        <f>Vergleiche!H31/C30-100%</f>
        <v>#DIV/0!</v>
      </c>
    </row>
    <row r="31" spans="1:6" ht="13.8">
      <c r="A31" s="224" t="s">
        <v>16</v>
      </c>
      <c r="B31" s="251"/>
      <c r="C31" s="251"/>
      <c r="E31" s="197" t="e">
        <f>Vergleiche!H32/B31-100%</f>
        <v>#DIV/0!</v>
      </c>
      <c r="F31" s="225" t="e">
        <f>Vergleiche!H32/C31-100%</f>
        <v>#DIV/0!</v>
      </c>
    </row>
    <row r="32" spans="1:6" ht="13.8">
      <c r="A32" s="224" t="s">
        <v>15</v>
      </c>
      <c r="B32" s="251"/>
      <c r="C32" s="251"/>
      <c r="E32" s="197" t="e">
        <f>Vergleiche!H33/B32-100%</f>
        <v>#DIV/0!</v>
      </c>
      <c r="F32" s="225" t="e">
        <f>Vergleiche!H33/C32-100%</f>
        <v>#DIV/0!</v>
      </c>
    </row>
    <row r="33" spans="1:7" ht="13.8">
      <c r="A33" s="224" t="s">
        <v>14</v>
      </c>
      <c r="B33" s="251"/>
      <c r="C33" s="251"/>
      <c r="E33" s="197" t="e">
        <f>Vergleiche!H34/B33-100%</f>
        <v>#DIV/0!</v>
      </c>
      <c r="F33" s="225" t="e">
        <f>Vergleiche!H34/C33-100%</f>
        <v>#DIV/0!</v>
      </c>
    </row>
    <row r="34" spans="1:7" ht="13.8">
      <c r="A34" s="224" t="s">
        <v>13</v>
      </c>
      <c r="B34" s="251"/>
      <c r="C34" s="251"/>
      <c r="E34" s="197" t="e">
        <f>Vergleiche!H35/B34-100%</f>
        <v>#DIV/0!</v>
      </c>
      <c r="F34" s="225" t="e">
        <f>Vergleiche!H35/C34-100%</f>
        <v>#DIV/0!</v>
      </c>
    </row>
    <row r="35" spans="1:7" ht="13.8">
      <c r="A35" s="224" t="s">
        <v>12</v>
      </c>
      <c r="B35" s="251"/>
      <c r="C35" s="251"/>
      <c r="E35" s="197" t="e">
        <f>Vergleiche!H36/B35-100%</f>
        <v>#DIV/0!</v>
      </c>
      <c r="F35" s="225" t="e">
        <f>Vergleiche!H36/C35-100%</f>
        <v>#DIV/0!</v>
      </c>
    </row>
    <row r="36" spans="1:7" ht="13.8">
      <c r="A36" s="231"/>
      <c r="B36" s="252"/>
      <c r="C36" s="252"/>
      <c r="D36" s="154"/>
      <c r="E36" s="155"/>
      <c r="F36" s="232"/>
      <c r="G36" s="156"/>
    </row>
    <row r="37" spans="1:7" ht="13.8">
      <c r="A37" s="233" t="s">
        <v>134</v>
      </c>
      <c r="B37" s="253"/>
      <c r="C37" s="253"/>
      <c r="D37" s="67">
        <f>'Pflegetaxe Budget'!G91</f>
        <v>37.8264267471558</v>
      </c>
      <c r="E37" s="196" t="e">
        <f>D37/B37-100%</f>
        <v>#DIV/0!</v>
      </c>
      <c r="F37" s="223" t="e">
        <f>D37/C37-100%</f>
        <v>#DIV/0!</v>
      </c>
    </row>
    <row r="38" spans="1:7" ht="13.8">
      <c r="A38" s="222" t="s">
        <v>135</v>
      </c>
      <c r="B38" s="253"/>
      <c r="C38" s="253"/>
      <c r="D38" s="67">
        <f>'Pensionstaxe Budget'!H52</f>
        <v>150.43186020715731</v>
      </c>
      <c r="E38" s="196" t="e">
        <f>D38/B38-100%</f>
        <v>#DIV/0!</v>
      </c>
      <c r="F38" s="223" t="e">
        <f>D38/C38-100%</f>
        <v>#DIV/0!</v>
      </c>
    </row>
    <row r="39" spans="1:7" ht="13.8">
      <c r="A39" s="233" t="s">
        <v>162</v>
      </c>
      <c r="B39" s="253"/>
      <c r="C39" s="253"/>
      <c r="D39" s="67">
        <f>'Pensionstaxe Budget'!H71</f>
        <v>142.35800502933779</v>
      </c>
      <c r="E39" s="196" t="e">
        <f>D39/B39-100%</f>
        <v>#DIV/0!</v>
      </c>
      <c r="F39" s="223" t="e">
        <f>D39/C39-100%</f>
        <v>#DIV/0!</v>
      </c>
    </row>
    <row r="40" spans="1:7" ht="13.8">
      <c r="A40" s="222" t="s">
        <v>216</v>
      </c>
      <c r="B40" s="254"/>
      <c r="C40" s="254"/>
      <c r="E40" s="196" t="e">
        <f>Vergleiche!H19/B40-100%</f>
        <v>#DIV/0!</v>
      </c>
      <c r="F40" s="223" t="e">
        <f>Vergleiche!H19/C40-100%</f>
        <v>#DIV/0!</v>
      </c>
    </row>
    <row r="41" spans="1:7" ht="13.8">
      <c r="A41" s="234"/>
      <c r="B41" s="255"/>
      <c r="C41" s="255"/>
      <c r="D41" s="157"/>
      <c r="E41" s="158"/>
      <c r="F41" s="212"/>
    </row>
    <row r="42" spans="1:7" ht="13.8">
      <c r="A42" s="224" t="s">
        <v>257</v>
      </c>
      <c r="B42" s="497"/>
      <c r="C42" s="497"/>
      <c r="D42" s="498"/>
      <c r="E42" s="197"/>
      <c r="F42" s="225"/>
    </row>
    <row r="43" spans="1:7" ht="13.8">
      <c r="A43" s="220"/>
      <c r="B43" s="489"/>
      <c r="C43" s="489"/>
      <c r="D43" s="490"/>
      <c r="E43" s="202"/>
      <c r="F43" s="491"/>
    </row>
    <row r="44" spans="1:7" ht="13.8">
      <c r="A44" s="23" t="s">
        <v>163</v>
      </c>
      <c r="B44" s="30" t="str">
        <f t="shared" ref="B44:C44" si="3">B3</f>
        <v>Rechnung 2017</v>
      </c>
      <c r="C44" s="30" t="str">
        <f t="shared" si="3"/>
        <v>Budget 2018</v>
      </c>
      <c r="D44" s="30" t="str">
        <f>D3</f>
        <v>Budget 2019</v>
      </c>
      <c r="E44" s="30" t="str">
        <f>E3</f>
        <v>Δ 2019 zu 2017</v>
      </c>
      <c r="F44" s="30" t="str">
        <f>F3</f>
        <v>Δ 201 zu B2018</v>
      </c>
    </row>
    <row r="45" spans="1:7" ht="13.8">
      <c r="A45" s="26" t="s">
        <v>136</v>
      </c>
      <c r="B45" s="256"/>
      <c r="C45" s="256"/>
      <c r="E45" s="198" t="e">
        <f>Vergleiche!H44/B45-100%</f>
        <v>#DIV/0!</v>
      </c>
      <c r="F45" s="198" t="e">
        <f>Vergleiche!H44/C45-100%</f>
        <v>#DIV/0!</v>
      </c>
    </row>
    <row r="46" spans="1:7" ht="13.8">
      <c r="A46" s="165" t="s">
        <v>137</v>
      </c>
      <c r="B46" s="256"/>
      <c r="C46" s="256"/>
      <c r="E46" s="199" t="e">
        <f>C46/B46-100%</f>
        <v>#DIV/0!</v>
      </c>
      <c r="F46" s="200" t="e">
        <f>Vergleiche!H45/C46-100%</f>
        <v>#DIV/0!</v>
      </c>
    </row>
    <row r="47" spans="1:7" ht="13.8">
      <c r="A47" s="23" t="s">
        <v>179</v>
      </c>
      <c r="B47" s="257"/>
      <c r="C47" s="257"/>
      <c r="E47" s="201" t="e">
        <f>Vergleiche!H46/B47-100%</f>
        <v>#DIV/0!</v>
      </c>
      <c r="F47" s="201" t="e">
        <f>Vergleiche!H46/C47-100%</f>
        <v>#DIV/0!</v>
      </c>
    </row>
    <row r="48" spans="1:7" ht="13.8">
      <c r="A48" s="26" t="s">
        <v>124</v>
      </c>
      <c r="B48" s="256"/>
      <c r="C48" s="256"/>
      <c r="E48" s="202" t="e">
        <f>Vergleiche!H47/B48-100%</f>
        <v>#DIV/0!</v>
      </c>
      <c r="F48" s="202" t="e">
        <f>E48/C48-100%</f>
        <v>#DIV/0!</v>
      </c>
    </row>
    <row r="49" spans="1:6" ht="13.8">
      <c r="A49" s="165" t="s">
        <v>125</v>
      </c>
      <c r="B49" s="256"/>
      <c r="C49" s="256"/>
      <c r="E49" s="202" t="e">
        <f>Vergleiche!H48/B49-100%</f>
        <v>#DIV/0!</v>
      </c>
      <c r="F49" s="202" t="e">
        <f>E49/C49-100%</f>
        <v>#DIV/0!</v>
      </c>
    </row>
    <row r="50" spans="1:6" ht="13.8">
      <c r="A50" s="165" t="s">
        <v>126</v>
      </c>
      <c r="B50" s="256"/>
      <c r="C50" s="256"/>
      <c r="E50" s="202" t="e">
        <f>Vergleiche!H49/B50-100%</f>
        <v>#DIV/0!</v>
      </c>
      <c r="F50" s="202" t="e">
        <f>E50/C50-100%</f>
        <v>#DIV/0!</v>
      </c>
    </row>
    <row r="51" spans="1:6" ht="13.8">
      <c r="A51" s="21" t="s">
        <v>164</v>
      </c>
      <c r="B51" s="256"/>
      <c r="C51" s="256"/>
      <c r="E51" s="202" t="e">
        <f>Vergleiche!H50/B51-100%</f>
        <v>#DIV/0!</v>
      </c>
      <c r="F51" s="202" t="e">
        <f>E51/C51-100%</f>
        <v>#DIV/0!</v>
      </c>
    </row>
    <row r="52" spans="1:6" ht="13.8">
      <c r="A52" s="23" t="s">
        <v>165</v>
      </c>
      <c r="B52" s="257"/>
      <c r="C52" s="257"/>
      <c r="E52" s="201" t="e">
        <f>Vergleiche!H51/B52-100%</f>
        <v>#DIV/0!</v>
      </c>
      <c r="F52" s="201" t="e">
        <f>Vergleiche!H51/C52-100%</f>
        <v>#DIV/0!</v>
      </c>
    </row>
    <row r="53" spans="1:6" ht="13.8">
      <c r="A53" s="26" t="s">
        <v>166</v>
      </c>
      <c r="B53" s="256"/>
      <c r="C53" s="256"/>
      <c r="E53" s="202" t="e">
        <f>Vergleiche!H52/B53-100%</f>
        <v>#DIV/0!</v>
      </c>
      <c r="F53" s="202" t="e">
        <f>Vergleiche!H52/C53-100%</f>
        <v>#DIV/0!</v>
      </c>
    </row>
    <row r="54" spans="1:6" ht="13.8">
      <c r="A54" s="235" t="s">
        <v>167</v>
      </c>
      <c r="B54" s="258"/>
      <c r="C54" s="258"/>
      <c r="E54" s="200" t="e">
        <f>Vergleiche!H53/B54-100%</f>
        <v>#DIV/0!</v>
      </c>
      <c r="F54" s="200" t="e">
        <f>Vergleiche!H53/C54-100%</f>
        <v>#DIV/0!</v>
      </c>
    </row>
    <row r="55" spans="1:6" ht="13.8">
      <c r="A55" s="159"/>
      <c r="B55" s="259"/>
      <c r="C55" s="259"/>
      <c r="D55" s="160"/>
      <c r="E55" s="161"/>
      <c r="F55" s="161"/>
    </row>
    <row r="56" spans="1:6" ht="13.8">
      <c r="A56" s="23" t="s">
        <v>275</v>
      </c>
      <c r="B56" s="30" t="str">
        <f t="shared" ref="B56:C56" si="4">B3</f>
        <v>Rechnung 2017</v>
      </c>
      <c r="C56" s="30" t="str">
        <f t="shared" si="4"/>
        <v>Budget 2018</v>
      </c>
      <c r="D56" s="30" t="str">
        <f>D3</f>
        <v>Budget 2019</v>
      </c>
      <c r="E56" s="30" t="str">
        <f>E3</f>
        <v>Δ 2019 zu 2017</v>
      </c>
      <c r="F56" s="30" t="str">
        <f>F3</f>
        <v>Δ 201 zu B2018</v>
      </c>
    </row>
    <row r="57" spans="1:6" ht="13.8">
      <c r="A57" s="25" t="s">
        <v>168</v>
      </c>
      <c r="B57" s="260"/>
      <c r="C57" s="260"/>
      <c r="D57" s="29"/>
      <c r="E57" s="81"/>
      <c r="F57" s="81"/>
    </row>
    <row r="58" spans="1:6" ht="13.8">
      <c r="A58" s="162" t="s">
        <v>169</v>
      </c>
      <c r="B58" s="261"/>
      <c r="C58" s="261"/>
      <c r="D58" s="163">
        <f>'Pflegetaxe Budget'!E49</f>
        <v>0.18</v>
      </c>
      <c r="E58" s="202" t="e">
        <f t="shared" ref="E58:E62" si="5">D58/B58-100%</f>
        <v>#DIV/0!</v>
      </c>
      <c r="F58" s="202" t="e">
        <f t="shared" ref="F58:F62" si="6">D58/C58-100%</f>
        <v>#DIV/0!</v>
      </c>
    </row>
    <row r="59" spans="1:6" ht="13.8">
      <c r="A59" s="162" t="s">
        <v>170</v>
      </c>
      <c r="B59" s="261"/>
      <c r="C59" s="261"/>
      <c r="D59" s="163">
        <f>'Pflegetaxe Budget'!E50</f>
        <v>0.3</v>
      </c>
      <c r="E59" s="202" t="e">
        <f t="shared" si="5"/>
        <v>#DIV/0!</v>
      </c>
      <c r="F59" s="202" t="e">
        <f t="shared" si="6"/>
        <v>#DIV/0!</v>
      </c>
    </row>
    <row r="60" spans="1:6" ht="13.8">
      <c r="A60" s="162" t="s">
        <v>171</v>
      </c>
      <c r="B60" s="261"/>
      <c r="C60" s="261"/>
      <c r="D60" s="163">
        <f>'Pflegetaxe Budget'!E51</f>
        <v>0.52</v>
      </c>
      <c r="E60" s="202" t="e">
        <f t="shared" si="5"/>
        <v>#DIV/0!</v>
      </c>
      <c r="F60" s="202" t="e">
        <f t="shared" si="6"/>
        <v>#DIV/0!</v>
      </c>
    </row>
    <row r="61" spans="1:6" ht="13.8">
      <c r="A61" s="21" t="s">
        <v>172</v>
      </c>
      <c r="B61" s="261"/>
      <c r="C61" s="261"/>
      <c r="D61" s="163">
        <f>Vergleiche!H52/Vergleiche!H51</f>
        <v>0.20833333333333331</v>
      </c>
      <c r="E61" s="202" t="e">
        <f t="shared" si="5"/>
        <v>#DIV/0!</v>
      </c>
      <c r="F61" s="202" t="e">
        <f t="shared" si="6"/>
        <v>#DIV/0!</v>
      </c>
    </row>
    <row r="62" spans="1:6" ht="13.8">
      <c r="A62" s="21" t="s">
        <v>251</v>
      </c>
      <c r="B62" s="261"/>
      <c r="C62" s="261"/>
      <c r="D62" s="163">
        <f>Vergleiche!H46/Vergleiche!H51</f>
        <v>0.662794659489371</v>
      </c>
      <c r="E62" s="202" t="e">
        <f t="shared" si="5"/>
        <v>#DIV/0!</v>
      </c>
      <c r="F62" s="202" t="e">
        <f t="shared" si="6"/>
        <v>#DIV/0!</v>
      </c>
    </row>
    <row r="63" spans="1:6" ht="13.8">
      <c r="A63" s="27"/>
      <c r="B63" s="262"/>
      <c r="C63" s="262"/>
      <c r="D63" s="166"/>
      <c r="E63" s="167"/>
      <c r="F63" s="167"/>
    </row>
    <row r="64" spans="1:6" ht="13.8">
      <c r="A64" s="23" t="s">
        <v>138</v>
      </c>
      <c r="B64" s="30" t="str">
        <f t="shared" ref="B64:C64" si="7">B3</f>
        <v>Rechnung 2017</v>
      </c>
      <c r="C64" s="30" t="str">
        <f t="shared" si="7"/>
        <v>Budget 2018</v>
      </c>
      <c r="D64" s="30" t="str">
        <f>D3</f>
        <v>Budget 2019</v>
      </c>
      <c r="E64" s="30" t="str">
        <f>E3</f>
        <v>Δ 2019 zu 2017</v>
      </c>
      <c r="F64" s="30" t="str">
        <f>F3</f>
        <v>Δ 201 zu B2018</v>
      </c>
    </row>
    <row r="65" spans="1:6" ht="13.8">
      <c r="A65" s="21" t="s">
        <v>173</v>
      </c>
      <c r="B65" s="263"/>
      <c r="C65" s="263"/>
      <c r="D65" s="191">
        <f>'Pflegetaxe Budget'!I77/13/Vergleiche!H47</f>
        <v>8126.7806267806263</v>
      </c>
      <c r="E65" s="202" t="e">
        <f>D65/B65-100%</f>
        <v>#DIV/0!</v>
      </c>
      <c r="F65" s="202" t="e">
        <f>D65/C65-100%</f>
        <v>#DIV/0!</v>
      </c>
    </row>
    <row r="66" spans="1:6" ht="13.8">
      <c r="A66" s="21" t="s">
        <v>174</v>
      </c>
      <c r="B66" s="263"/>
      <c r="C66" s="263"/>
      <c r="D66" s="191">
        <f>'Pflegetaxe Budget'!I78/13/Vergleiche!H48</f>
        <v>5960.3586597451631</v>
      </c>
      <c r="E66" s="202" t="e">
        <f>D66/B66-100%</f>
        <v>#DIV/0!</v>
      </c>
      <c r="F66" s="202" t="e">
        <f>D66/C66-100%</f>
        <v>#DIV/0!</v>
      </c>
    </row>
    <row r="67" spans="1:6" ht="13.8">
      <c r="A67" s="21" t="s">
        <v>175</v>
      </c>
      <c r="B67" s="263"/>
      <c r="C67" s="263"/>
      <c r="D67" s="191">
        <f>'Pflegetaxe Budget'!I79/13/Vergleiche!H49</f>
        <v>4655.9891721182048</v>
      </c>
      <c r="E67" s="202" t="e">
        <f>D67/B67-100%</f>
        <v>#DIV/0!</v>
      </c>
      <c r="F67" s="202" t="e">
        <f>D67/C67-100%</f>
        <v>#DIV/0!</v>
      </c>
    </row>
    <row r="68" spans="1:6" ht="13.8">
      <c r="A68" s="21" t="s">
        <v>176</v>
      </c>
      <c r="B68" s="263"/>
      <c r="C68" s="263"/>
      <c r="D68" s="191">
        <f>'Pflegetaxe Budget'!I80/13/Vergleiche!H50</f>
        <v>6410.2564102564102</v>
      </c>
      <c r="E68" s="202" t="e">
        <f>D68/B68-100%</f>
        <v>#DIV/0!</v>
      </c>
      <c r="F68" s="202" t="e">
        <f>D68/C68-100%</f>
        <v>#DIV/0!</v>
      </c>
    </row>
    <row r="69" spans="1:6" ht="13.8">
      <c r="A69" s="21" t="s">
        <v>177</v>
      </c>
      <c r="B69" s="263"/>
      <c r="C69" s="263"/>
      <c r="D69" s="191">
        <f>'Pflegetaxe Budget'!I52</f>
        <v>242960</v>
      </c>
      <c r="E69" s="202" t="e">
        <f>D69/B69-100%</f>
        <v>#DIV/0!</v>
      </c>
      <c r="F69" s="202" t="e">
        <f>D69/C69-100%</f>
        <v>#DIV/0!</v>
      </c>
    </row>
    <row r="70" spans="1:6" ht="13.8">
      <c r="A70" s="21"/>
      <c r="B70" s="263"/>
      <c r="C70" s="263"/>
      <c r="D70" s="191"/>
      <c r="E70" s="192"/>
      <c r="F70" s="192"/>
    </row>
    <row r="71" spans="1:6" ht="13.8">
      <c r="A71" s="21" t="s">
        <v>252</v>
      </c>
      <c r="B71" s="488"/>
      <c r="C71" s="488"/>
      <c r="D71" s="492">
        <f>'Pensionstaxe Budget'!H7</f>
        <v>476000</v>
      </c>
      <c r="E71" s="197" t="e">
        <f t="shared" ref="E71:E75" si="8">D71/B71-100%</f>
        <v>#DIV/0!</v>
      </c>
      <c r="F71" s="197" t="e">
        <f t="shared" ref="F71:F75" si="9">D71/C71-100%</f>
        <v>#DIV/0!</v>
      </c>
    </row>
    <row r="72" spans="1:6" ht="13.8">
      <c r="A72" s="21" t="s">
        <v>253</v>
      </c>
      <c r="B72" s="488"/>
      <c r="C72" s="488"/>
      <c r="D72" s="492">
        <f>'Pensionstaxe Budget'!H8</f>
        <v>1035000</v>
      </c>
      <c r="E72" s="197" t="e">
        <f t="shared" si="8"/>
        <v>#DIV/0!</v>
      </c>
      <c r="F72" s="197" t="e">
        <f t="shared" si="9"/>
        <v>#DIV/0!</v>
      </c>
    </row>
    <row r="73" spans="1:6" ht="13.8">
      <c r="A73" s="21" t="s">
        <v>254</v>
      </c>
      <c r="B73" s="488"/>
      <c r="C73" s="488"/>
      <c r="D73" s="492">
        <f>'Pensionstaxe Budget'!H9</f>
        <v>1067000</v>
      </c>
      <c r="E73" s="197" t="e">
        <f t="shared" si="8"/>
        <v>#DIV/0!</v>
      </c>
      <c r="F73" s="197" t="e">
        <f t="shared" si="9"/>
        <v>#DIV/0!</v>
      </c>
    </row>
    <row r="74" spans="1:6" ht="13.8">
      <c r="A74" s="21" t="s">
        <v>255</v>
      </c>
      <c r="B74" s="488"/>
      <c r="C74" s="488"/>
      <c r="D74" s="492">
        <f>'Pensionstaxe Budget'!H10</f>
        <v>445000</v>
      </c>
      <c r="E74" s="197" t="e">
        <f t="shared" si="8"/>
        <v>#DIV/0!</v>
      </c>
      <c r="F74" s="197" t="e">
        <f t="shared" si="9"/>
        <v>#DIV/0!</v>
      </c>
    </row>
    <row r="75" spans="1:6" ht="13.8">
      <c r="A75" s="21" t="s">
        <v>256</v>
      </c>
      <c r="B75" s="488"/>
      <c r="C75" s="488"/>
      <c r="D75" s="492">
        <f>'Pensionstaxe Budget'!H11</f>
        <v>187000</v>
      </c>
      <c r="E75" s="197" t="e">
        <f t="shared" si="8"/>
        <v>#DIV/0!</v>
      </c>
      <c r="F75" s="197" t="e">
        <f t="shared" si="9"/>
        <v>#DIV/0!</v>
      </c>
    </row>
    <row r="76" spans="1:6" ht="13.8">
      <c r="A76" s="496"/>
      <c r="B76" s="488"/>
      <c r="C76" s="488"/>
      <c r="D76" s="492">
        <f>'Pensionstaxe Budget'!H12</f>
        <v>0</v>
      </c>
      <c r="E76" s="197" t="e">
        <f t="shared" ref="E76" si="10">D76/B76-100%</f>
        <v>#DIV/0!</v>
      </c>
      <c r="F76" s="197" t="e">
        <f t="shared" ref="F76" si="11">D76/C76-100%</f>
        <v>#DIV/0!</v>
      </c>
    </row>
    <row r="77" spans="1:6" ht="13.8">
      <c r="A77" s="27" t="s">
        <v>178</v>
      </c>
      <c r="B77" s="264"/>
      <c r="C77" s="264"/>
      <c r="D77" s="164">
        <f>'Pflegetaxe Budget'!E83</f>
        <v>0.23</v>
      </c>
      <c r="E77" s="200" t="e">
        <f>D77/B77-100%</f>
        <v>#DIV/0!</v>
      </c>
      <c r="F77" s="200" t="e">
        <f>D77/C77-100%</f>
        <v>#DIV/0!</v>
      </c>
    </row>
    <row r="78" spans="1:6">
      <c r="B78" s="265"/>
      <c r="C78" s="265"/>
    </row>
    <row r="79" spans="1:6" s="28" customFormat="1" ht="13.2">
      <c r="A79" s="168" t="s">
        <v>180</v>
      </c>
      <c r="B79" s="30" t="str">
        <f t="shared" ref="B79:C79" si="12">B3</f>
        <v>Rechnung 2017</v>
      </c>
      <c r="C79" s="30" t="str">
        <f t="shared" si="12"/>
        <v>Budget 2018</v>
      </c>
      <c r="D79" s="30" t="str">
        <f>D3</f>
        <v>Budget 2019</v>
      </c>
      <c r="E79" s="30" t="str">
        <f>E3</f>
        <v>Δ 2019 zu 2017</v>
      </c>
      <c r="F79" s="30" t="str">
        <f>F3</f>
        <v>Δ 201 zu B2018</v>
      </c>
    </row>
    <row r="80" spans="1:6" s="28" customFormat="1" ht="13.2">
      <c r="A80" s="26" t="s">
        <v>181</v>
      </c>
      <c r="B80" s="266"/>
      <c r="C80" s="266"/>
      <c r="D80" s="193">
        <f>'Pflegetaxe Budget'!I10</f>
        <v>1560</v>
      </c>
      <c r="E80" s="202" t="e">
        <f>D80/B80-100%</f>
        <v>#DIV/0!</v>
      </c>
      <c r="F80" s="202" t="e">
        <f>D80/C80-100%</f>
        <v>#DIV/0!</v>
      </c>
    </row>
    <row r="81" spans="1:6" s="28" customFormat="1" ht="13.2">
      <c r="A81" s="169" t="s">
        <v>182</v>
      </c>
      <c r="B81" s="267"/>
      <c r="C81" s="267"/>
      <c r="E81" s="202" t="e">
        <f>Vergleiche!H70/B81-100%</f>
        <v>#DIV/0!</v>
      </c>
      <c r="F81" s="202" t="e">
        <f>Vergleiche!H70/C81-100%</f>
        <v>#DIV/0!</v>
      </c>
    </row>
    <row r="82" spans="1:6" s="28" customFormat="1" ht="13.2">
      <c r="A82" s="169" t="s">
        <v>183</v>
      </c>
      <c r="B82" s="263"/>
      <c r="C82" s="263"/>
      <c r="D82" s="191">
        <f>+'Pflegetaxe Budget'!I55/Vergleiche!H46</f>
        <v>105085.2352159374</v>
      </c>
      <c r="E82" s="202" t="e">
        <f>D82/B82-100%</f>
        <v>#DIV/0!</v>
      </c>
      <c r="F82" s="202" t="e">
        <f>D82/C82-100%</f>
        <v>#DIV/0!</v>
      </c>
    </row>
    <row r="83" spans="1:6" s="28" customFormat="1" ht="13.2">
      <c r="A83" s="170"/>
      <c r="B83" s="268"/>
      <c r="C83" s="268"/>
      <c r="D83" s="171"/>
      <c r="E83" s="171"/>
      <c r="F83" s="172"/>
    </row>
    <row r="84" spans="1:6" s="28" customFormat="1" ht="13.2">
      <c r="B84" s="265"/>
      <c r="C84" s="265"/>
    </row>
    <row r="85" spans="1:6" ht="13.8">
      <c r="A85" s="23" t="s">
        <v>184</v>
      </c>
      <c r="B85" s="30" t="str">
        <f t="shared" ref="B85:C85" si="13">B3</f>
        <v>Rechnung 2017</v>
      </c>
      <c r="C85" s="30" t="str">
        <f t="shared" si="13"/>
        <v>Budget 2018</v>
      </c>
      <c r="D85" s="30" t="str">
        <f>D3</f>
        <v>Budget 2019</v>
      </c>
      <c r="E85" s="30" t="str">
        <f>E3</f>
        <v>Δ 2019 zu 2017</v>
      </c>
      <c r="F85" s="30" t="str">
        <f>F3</f>
        <v>Δ 201 zu B2018</v>
      </c>
    </row>
    <row r="86" spans="1:6" ht="13.8">
      <c r="A86" s="169" t="s">
        <v>185</v>
      </c>
      <c r="B86" s="269"/>
      <c r="C86" s="269"/>
      <c r="D86" s="194">
        <f>'Pflegetaxe Budget'!G90</f>
        <v>0.27265129682997119</v>
      </c>
      <c r="E86" s="202" t="e">
        <f>D86/B86-100%</f>
        <v>#DIV/0!</v>
      </c>
      <c r="F86" s="202" t="e">
        <f>D86/C86-100%</f>
        <v>#DIV/0!</v>
      </c>
    </row>
    <row r="87" spans="1:6" ht="13.8">
      <c r="A87" s="169" t="s">
        <v>186</v>
      </c>
      <c r="B87" s="263"/>
      <c r="C87" s="263"/>
      <c r="D87" s="191">
        <f>'Pflegetaxe Budget'!I84/Vergleiche!H51</f>
        <v>95758.653846153844</v>
      </c>
      <c r="E87" s="202" t="e">
        <f>D87/B87-100%</f>
        <v>#DIV/0!</v>
      </c>
      <c r="F87" s="202" t="e">
        <f>D87/C87-100%</f>
        <v>#DIV/0!</v>
      </c>
    </row>
    <row r="88" spans="1:6" ht="13.8">
      <c r="A88" s="170"/>
      <c r="B88" s="268"/>
      <c r="C88" s="268"/>
      <c r="D88" s="171"/>
      <c r="E88" s="171"/>
      <c r="F88" s="172"/>
    </row>
    <row r="89" spans="1:6">
      <c r="B89" s="265"/>
      <c r="C89" s="265"/>
    </row>
    <row r="90" spans="1:6" ht="13.8">
      <c r="A90" s="23" t="s">
        <v>187</v>
      </c>
      <c r="B90" s="30" t="str">
        <f t="shared" ref="B90:C90" si="14">B3</f>
        <v>Rechnung 2017</v>
      </c>
      <c r="C90" s="30" t="str">
        <f t="shared" si="14"/>
        <v>Budget 2018</v>
      </c>
      <c r="D90" s="30" t="str">
        <f>D3</f>
        <v>Budget 2019</v>
      </c>
      <c r="E90" s="30" t="str">
        <f>E3</f>
        <v>Δ 2019 zu 2017</v>
      </c>
      <c r="F90" s="30" t="str">
        <f>F3</f>
        <v>Δ 201 zu B2018</v>
      </c>
    </row>
    <row r="91" spans="1:6" ht="13.8">
      <c r="A91" s="169" t="s">
        <v>258</v>
      </c>
      <c r="B91" s="270"/>
      <c r="C91" s="263"/>
      <c r="D91" s="493">
        <f>'Pensionstaxe Budget'!H14</f>
        <v>3477000</v>
      </c>
      <c r="E91" s="202" t="e">
        <f>D91/B91-100%</f>
        <v>#DIV/0!</v>
      </c>
      <c r="F91" s="202" t="e">
        <f>D91/C91-100%</f>
        <v>#DIV/0!</v>
      </c>
    </row>
    <row r="92" spans="1:6" ht="13.8">
      <c r="A92" s="169" t="s">
        <v>259</v>
      </c>
      <c r="B92" s="271"/>
      <c r="C92" s="271"/>
      <c r="D92" s="353">
        <f>('Pensionstaxe Budget'!H14+'Pensionstaxe Budget'!H18+'Pensionstaxe Budget'!H22)</f>
        <v>4447710</v>
      </c>
      <c r="E92" s="202" t="e">
        <f>D92/B92-100%</f>
        <v>#DIV/0!</v>
      </c>
      <c r="F92" s="202" t="e">
        <f>D92/C92-100%</f>
        <v>#DIV/0!</v>
      </c>
    </row>
    <row r="93" spans="1:6" ht="13.8">
      <c r="A93" s="169"/>
      <c r="B93" s="272"/>
      <c r="C93" s="272"/>
      <c r="D93" s="173"/>
      <c r="E93" s="202"/>
      <c r="F93" s="202"/>
    </row>
    <row r="94" spans="1:6" ht="13.8">
      <c r="A94" s="169" t="s">
        <v>263</v>
      </c>
      <c r="B94" s="272"/>
      <c r="C94" s="272"/>
      <c r="D94" s="173">
        <f>'Pensionstaxe Budget'!H29</f>
        <v>780000</v>
      </c>
      <c r="E94" s="202" t="e">
        <f>D94/B94-100%</f>
        <v>#DIV/0!</v>
      </c>
      <c r="F94" s="202" t="e">
        <f>D94/C94-100%</f>
        <v>#DIV/0!</v>
      </c>
    </row>
    <row r="95" spans="1:6" ht="13.8">
      <c r="A95" s="169" t="s">
        <v>5</v>
      </c>
      <c r="B95" s="272"/>
      <c r="C95" s="272"/>
      <c r="D95" s="173">
        <f>'Pensionstaxe Budget'!H30</f>
        <v>145000</v>
      </c>
      <c r="E95" s="202" t="e">
        <f>D95/B95-100%</f>
        <v>#DIV/0!</v>
      </c>
      <c r="F95" s="202" t="e">
        <f>D95/C95-100%</f>
        <v>#DIV/0!</v>
      </c>
    </row>
    <row r="96" spans="1:6" ht="13.8">
      <c r="A96" s="169" t="s">
        <v>264</v>
      </c>
      <c r="B96" s="272"/>
      <c r="C96" s="272"/>
      <c r="D96" s="173">
        <f>'Pensionstaxe Budget'!H31</f>
        <v>241000</v>
      </c>
      <c r="E96" s="202" t="e">
        <f>D96/B96-100%</f>
        <v>#DIV/0!</v>
      </c>
      <c r="F96" s="202" t="e">
        <f>D96/C96-100%</f>
        <v>#DIV/0!</v>
      </c>
    </row>
    <row r="97" spans="1:6" ht="13.8">
      <c r="A97" s="169" t="s">
        <v>265</v>
      </c>
      <c r="B97" s="272"/>
      <c r="C97" s="272"/>
      <c r="D97" s="173">
        <f>'Pensionstaxe Budget'!H32</f>
        <v>59000</v>
      </c>
      <c r="E97" s="202" t="e">
        <f>D97/B97-100%</f>
        <v>#DIV/0!</v>
      </c>
      <c r="F97" s="202" t="e">
        <f>D97/C97-100%</f>
        <v>#DIV/0!</v>
      </c>
    </row>
    <row r="98" spans="1:6" ht="13.8">
      <c r="A98" s="169" t="s">
        <v>266</v>
      </c>
      <c r="B98" s="272"/>
      <c r="C98" s="272"/>
      <c r="E98" s="202" t="e">
        <f>Vergleiche!H94/B98-100%</f>
        <v>#DIV/0!</v>
      </c>
      <c r="F98" s="202" t="e">
        <f>Vergleiche!H94/C98-100%</f>
        <v>#DIV/0!</v>
      </c>
    </row>
    <row r="99" spans="1:6" ht="13.8">
      <c r="A99" s="169" t="s">
        <v>7</v>
      </c>
      <c r="B99" s="272"/>
      <c r="C99" s="272"/>
      <c r="D99" s="173">
        <f>'Pensionstaxe Budget'!H39</f>
        <v>224000</v>
      </c>
      <c r="E99" s="202" t="e">
        <f>D99/B99-100%</f>
        <v>#DIV/0!</v>
      </c>
      <c r="F99" s="202" t="e">
        <f>D99/C99-100%</f>
        <v>#DIV/0!</v>
      </c>
    </row>
    <row r="100" spans="1:6" ht="13.8">
      <c r="A100" s="169" t="s">
        <v>267</v>
      </c>
      <c r="B100" s="272"/>
      <c r="C100" s="272"/>
      <c r="E100" s="202" t="e">
        <f>Vergleiche!H97/B100-100%</f>
        <v>#DIV/0!</v>
      </c>
      <c r="F100" s="202" t="e">
        <f>Vergleiche!H97/C100-100%</f>
        <v>#DIV/0!</v>
      </c>
    </row>
    <row r="101" spans="1:6" ht="13.8">
      <c r="A101" s="169" t="s">
        <v>268</v>
      </c>
      <c r="B101" s="272"/>
      <c r="C101" s="272"/>
      <c r="D101" s="173">
        <f>-'Pensionstaxe Budget'!H49</f>
        <v>-1068000</v>
      </c>
      <c r="E101" s="202" t="e">
        <f>D101/B101-100%</f>
        <v>#DIV/0!</v>
      </c>
      <c r="F101" s="202" t="e">
        <f>D101/C101-100%</f>
        <v>#DIV/0!</v>
      </c>
    </row>
    <row r="102" spans="1:6" ht="13.8">
      <c r="A102" s="170"/>
      <c r="B102" s="268"/>
      <c r="C102" s="268"/>
      <c r="D102" s="171"/>
      <c r="E102" s="171"/>
      <c r="F102" s="172"/>
    </row>
    <row r="103" spans="1:6">
      <c r="C103" s="265"/>
    </row>
    <row r="104" spans="1:6">
      <c r="C104" s="265"/>
    </row>
  </sheetData>
  <pageMargins left="0.39370078740157483" right="0.39370078740157483" top="0.59055118110236227" bottom="0.59055118110236227" header="0.31496062992125984" footer="0.31496062992125984"/>
  <pageSetup paperSize="9" scale="81" fitToHeight="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R209"/>
  <sheetViews>
    <sheetView zoomScaleNormal="100" workbookViewId="0">
      <selection activeCell="M110" sqref="M110"/>
    </sheetView>
  </sheetViews>
  <sheetFormatPr baseColWidth="10" defaultColWidth="4.5" defaultRowHeight="15"/>
  <cols>
    <col min="1" max="1" width="32.5" style="476" customWidth="1"/>
    <col min="2" max="2" width="14.5" style="476" customWidth="1"/>
    <col min="3" max="3" width="1.19921875" style="476" customWidth="1"/>
    <col min="4" max="4" width="16.5" style="516" bestFit="1" customWidth="1"/>
    <col min="5" max="5" width="1.09765625" style="516" customWidth="1"/>
    <col min="6" max="6" width="17.5" style="517" bestFit="1" customWidth="1"/>
    <col min="7" max="7" width="0.69921875" style="517" customWidth="1"/>
    <col min="8" max="8" width="17.5" style="477" customWidth="1"/>
    <col min="9" max="9" width="0.59765625" style="477" customWidth="1"/>
    <col min="10" max="10" width="13" style="478" customWidth="1"/>
    <col min="11" max="11" width="0.59765625" style="478" customWidth="1"/>
    <col min="12" max="12" width="15" style="476" customWidth="1"/>
    <col min="13" max="13" width="28.69921875" style="519" customWidth="1"/>
    <col min="14" max="14" width="4.5" style="290"/>
    <col min="15" max="15" width="17.5" style="517" bestFit="1" customWidth="1"/>
    <col min="16" max="18" width="4.5" style="290"/>
    <col min="19" max="16384" width="4.5" style="284"/>
  </cols>
  <sheetData>
    <row r="1" spans="1:15" ht="40.5" customHeight="1" thickBot="1">
      <c r="A1" s="699" t="s">
        <v>241</v>
      </c>
      <c r="B1" s="700"/>
      <c r="C1" s="585"/>
      <c r="D1" s="659" t="s">
        <v>325</v>
      </c>
      <c r="E1" s="585"/>
      <c r="F1" s="869" t="s">
        <v>326</v>
      </c>
      <c r="G1" s="585"/>
      <c r="H1" s="585"/>
      <c r="I1" s="584"/>
      <c r="J1" s="585"/>
      <c r="K1" s="585"/>
      <c r="L1" s="585">
        <f>'Pflegetaxe Budget'!I1</f>
        <v>2024</v>
      </c>
      <c r="M1" s="586" t="s">
        <v>242</v>
      </c>
      <c r="O1" s="876" t="s">
        <v>344</v>
      </c>
    </row>
    <row r="2" spans="1:15" ht="42" customHeight="1">
      <c r="A2" s="660" t="str">
        <f>'Pflegetaxe Budget'!G1</f>
        <v>SCHULUNG</v>
      </c>
      <c r="B2" s="322"/>
      <c r="C2" s="322"/>
      <c r="D2" s="866" t="s">
        <v>342</v>
      </c>
      <c r="E2" s="866"/>
      <c r="F2" s="866" t="s">
        <v>343</v>
      </c>
      <c r="G2" s="513"/>
      <c r="H2" s="470"/>
      <c r="I2" s="470"/>
      <c r="J2" s="471"/>
      <c r="K2" s="471"/>
      <c r="L2" s="472"/>
      <c r="M2" s="518"/>
      <c r="O2" s="878"/>
    </row>
    <row r="3" spans="1:15" ht="13.8">
      <c r="A3" s="674"/>
      <c r="B3" s="675"/>
      <c r="C3" s="578"/>
      <c r="D3" s="514" t="s">
        <v>327</v>
      </c>
      <c r="E3" s="578"/>
      <c r="F3" s="514" t="s">
        <v>322</v>
      </c>
      <c r="G3" s="578"/>
      <c r="H3" s="473" t="s">
        <v>328</v>
      </c>
      <c r="I3" s="578"/>
      <c r="J3" s="473" t="s">
        <v>329</v>
      </c>
      <c r="K3" s="579"/>
      <c r="L3" s="611" t="s">
        <v>330</v>
      </c>
      <c r="M3" s="587" t="s">
        <v>240</v>
      </c>
      <c r="O3" s="877" t="str">
        <f t="shared" ref="O3:O66" si="0">H3</f>
        <v>Budget 2024</v>
      </c>
    </row>
    <row r="4" spans="1:15" ht="13.8">
      <c r="A4" s="672" t="s">
        <v>129</v>
      </c>
      <c r="B4" s="673"/>
      <c r="C4" s="630"/>
      <c r="D4" s="514" t="s">
        <v>277</v>
      </c>
      <c r="E4" s="578"/>
      <c r="F4" s="514"/>
      <c r="G4" s="578"/>
      <c r="H4" s="473"/>
      <c r="I4" s="578"/>
      <c r="J4" s="473"/>
      <c r="K4" s="579"/>
      <c r="L4" s="611"/>
      <c r="M4" s="587"/>
      <c r="O4" s="877">
        <f t="shared" si="0"/>
        <v>0</v>
      </c>
    </row>
    <row r="5" spans="1:15" ht="13.8">
      <c r="A5" s="474" t="s">
        <v>24</v>
      </c>
      <c r="B5" s="631"/>
      <c r="C5" s="631"/>
      <c r="D5" s="892">
        <v>2155</v>
      </c>
      <c r="E5" s="556"/>
      <c r="F5" s="922">
        <v>2555</v>
      </c>
      <c r="G5" s="523"/>
      <c r="H5" s="555">
        <f>'Pflegetaxe Budget'!D15</f>
        <v>730</v>
      </c>
      <c r="I5" s="540"/>
      <c r="J5" s="574">
        <f>IFERROR(H5/D5-100%,0)</f>
        <v>-0.66125290023201855</v>
      </c>
      <c r="K5" s="475"/>
      <c r="L5" s="612">
        <f>IFERROR(H5/F5-100%,0)</f>
        <v>-0.7142857142857143</v>
      </c>
      <c r="M5" s="588"/>
      <c r="O5" s="877">
        <f t="shared" si="0"/>
        <v>730</v>
      </c>
    </row>
    <row r="6" spans="1:15" ht="13.8">
      <c r="A6" s="474" t="s">
        <v>23</v>
      </c>
      <c r="B6" s="631"/>
      <c r="C6" s="631"/>
      <c r="D6" s="892">
        <v>8065</v>
      </c>
      <c r="E6" s="556"/>
      <c r="F6" s="922">
        <v>6935</v>
      </c>
      <c r="G6" s="523"/>
      <c r="H6" s="555">
        <f>'Pflegetaxe Budget'!D16</f>
        <v>7665</v>
      </c>
      <c r="I6" s="540"/>
      <c r="J6" s="475">
        <f t="shared" ref="J6:J21" si="1">IFERROR(H6/D6-100%,0)</f>
        <v>-4.9597024178549276E-2</v>
      </c>
      <c r="K6" s="475"/>
      <c r="L6" s="612">
        <f t="shared" ref="L6:L21" si="2">IFERROR(H6/F6-100%,0)</f>
        <v>0.10526315789473695</v>
      </c>
      <c r="M6" s="588"/>
      <c r="O6" s="877">
        <f t="shared" si="0"/>
        <v>7665</v>
      </c>
    </row>
    <row r="7" spans="1:15" ht="13.8">
      <c r="A7" s="474" t="s">
        <v>22</v>
      </c>
      <c r="B7" s="631"/>
      <c r="C7" s="631"/>
      <c r="D7" s="892">
        <v>7288</v>
      </c>
      <c r="E7" s="556"/>
      <c r="F7" s="922">
        <v>7300</v>
      </c>
      <c r="G7" s="523"/>
      <c r="H7" s="555">
        <f>'Pflegetaxe Budget'!D17</f>
        <v>7300</v>
      </c>
      <c r="I7" s="540"/>
      <c r="J7" s="475">
        <f t="shared" si="1"/>
        <v>1.6465422612512715E-3</v>
      </c>
      <c r="K7" s="475"/>
      <c r="L7" s="612">
        <f t="shared" si="2"/>
        <v>0</v>
      </c>
      <c r="M7" s="588"/>
      <c r="O7" s="877">
        <f t="shared" si="0"/>
        <v>7300</v>
      </c>
    </row>
    <row r="8" spans="1:15" ht="13.8">
      <c r="A8" s="474" t="s">
        <v>21</v>
      </c>
      <c r="B8" s="631"/>
      <c r="C8" s="631"/>
      <c r="D8" s="892">
        <v>4611</v>
      </c>
      <c r="E8" s="556"/>
      <c r="F8" s="922">
        <v>6570</v>
      </c>
      <c r="G8" s="523"/>
      <c r="H8" s="555">
        <f>'Pflegetaxe Budget'!D18</f>
        <v>2555</v>
      </c>
      <c r="I8" s="540"/>
      <c r="J8" s="475">
        <f t="shared" si="1"/>
        <v>-0.44589026241596186</v>
      </c>
      <c r="K8" s="475"/>
      <c r="L8" s="612">
        <f t="shared" si="2"/>
        <v>-0.61111111111111116</v>
      </c>
      <c r="M8" s="588"/>
      <c r="O8" s="877">
        <f t="shared" si="0"/>
        <v>2555</v>
      </c>
    </row>
    <row r="9" spans="1:15" ht="13.8">
      <c r="A9" s="474" t="s">
        <v>20</v>
      </c>
      <c r="B9" s="631"/>
      <c r="C9" s="631"/>
      <c r="D9" s="892">
        <v>4046</v>
      </c>
      <c r="E9" s="556"/>
      <c r="F9" s="922">
        <v>3285</v>
      </c>
      <c r="G9" s="523"/>
      <c r="H9" s="555">
        <f>'Pflegetaxe Budget'!D19</f>
        <v>5110</v>
      </c>
      <c r="I9" s="540"/>
      <c r="J9" s="475">
        <f t="shared" si="1"/>
        <v>0.26297577854671284</v>
      </c>
      <c r="K9" s="475"/>
      <c r="L9" s="612">
        <f t="shared" si="2"/>
        <v>0.55555555555555558</v>
      </c>
      <c r="M9" s="588"/>
      <c r="O9" s="877">
        <f t="shared" si="0"/>
        <v>5110</v>
      </c>
    </row>
    <row r="10" spans="1:15" ht="13.8">
      <c r="A10" s="474" t="s">
        <v>19</v>
      </c>
      <c r="B10" s="631"/>
      <c r="C10" s="631"/>
      <c r="D10" s="892">
        <v>3083</v>
      </c>
      <c r="E10" s="556"/>
      <c r="F10" s="922">
        <v>2190</v>
      </c>
      <c r="G10" s="523"/>
      <c r="H10" s="555">
        <f>'Pflegetaxe Budget'!D20</f>
        <v>4015</v>
      </c>
      <c r="I10" s="540"/>
      <c r="J10" s="475">
        <f t="shared" si="1"/>
        <v>0.30230295167045096</v>
      </c>
      <c r="K10" s="475"/>
      <c r="L10" s="612">
        <f t="shared" si="2"/>
        <v>0.83333333333333326</v>
      </c>
      <c r="M10" s="588"/>
      <c r="O10" s="877">
        <f t="shared" si="0"/>
        <v>4015</v>
      </c>
    </row>
    <row r="11" spans="1:15" ht="13.8">
      <c r="A11" s="474" t="s">
        <v>18</v>
      </c>
      <c r="B11" s="631"/>
      <c r="C11" s="631"/>
      <c r="D11" s="892">
        <v>3643</v>
      </c>
      <c r="E11" s="556"/>
      <c r="F11" s="922">
        <v>4380</v>
      </c>
      <c r="G11" s="523"/>
      <c r="H11" s="555">
        <f>'Pflegetaxe Budget'!D21</f>
        <v>3285</v>
      </c>
      <c r="I11" s="540"/>
      <c r="J11" s="475">
        <f t="shared" si="1"/>
        <v>-9.8270656052703798E-2</v>
      </c>
      <c r="K11" s="475"/>
      <c r="L11" s="612">
        <f t="shared" si="2"/>
        <v>-0.25</v>
      </c>
      <c r="M11" s="588"/>
      <c r="O11" s="877">
        <f t="shared" si="0"/>
        <v>3285</v>
      </c>
    </row>
    <row r="12" spans="1:15" ht="13.8">
      <c r="A12" s="474" t="s">
        <v>17</v>
      </c>
      <c r="B12" s="631"/>
      <c r="C12" s="631"/>
      <c r="D12" s="892">
        <v>3657</v>
      </c>
      <c r="E12" s="556"/>
      <c r="F12" s="922">
        <v>4015</v>
      </c>
      <c r="G12" s="523"/>
      <c r="H12" s="555">
        <f>'Pflegetaxe Budget'!D22</f>
        <v>4015</v>
      </c>
      <c r="I12" s="540"/>
      <c r="J12" s="475">
        <f t="shared" si="1"/>
        <v>9.7894449001914241E-2</v>
      </c>
      <c r="K12" s="475"/>
      <c r="L12" s="612">
        <f t="shared" si="2"/>
        <v>0</v>
      </c>
      <c r="M12" s="588"/>
      <c r="O12" s="877">
        <f t="shared" si="0"/>
        <v>4015</v>
      </c>
    </row>
    <row r="13" spans="1:15" ht="13.8">
      <c r="A13" s="474" t="s">
        <v>16</v>
      </c>
      <c r="B13" s="631"/>
      <c r="C13" s="631"/>
      <c r="D13" s="892">
        <v>2842</v>
      </c>
      <c r="E13" s="556"/>
      <c r="F13" s="922">
        <v>2555</v>
      </c>
      <c r="G13" s="523"/>
      <c r="H13" s="555">
        <f>'Pflegetaxe Budget'!D23</f>
        <v>3285</v>
      </c>
      <c r="I13" s="540"/>
      <c r="J13" s="475">
        <f t="shared" si="1"/>
        <v>0.15587614356087265</v>
      </c>
      <c r="K13" s="475"/>
      <c r="L13" s="612">
        <f t="shared" si="2"/>
        <v>0.28571428571428581</v>
      </c>
      <c r="M13" s="588"/>
      <c r="O13" s="877">
        <f t="shared" si="0"/>
        <v>3285</v>
      </c>
    </row>
    <row r="14" spans="1:15" ht="13.8">
      <c r="A14" s="474" t="s">
        <v>15</v>
      </c>
      <c r="B14" s="631"/>
      <c r="C14" s="631"/>
      <c r="D14" s="892">
        <v>1790</v>
      </c>
      <c r="E14" s="556"/>
      <c r="F14" s="922">
        <v>1095</v>
      </c>
      <c r="G14" s="523"/>
      <c r="H14" s="555">
        <f>'Pflegetaxe Budget'!D24</f>
        <v>2190</v>
      </c>
      <c r="I14" s="540"/>
      <c r="J14" s="475">
        <f t="shared" si="1"/>
        <v>0.22346368715083798</v>
      </c>
      <c r="K14" s="475"/>
      <c r="L14" s="612">
        <f t="shared" si="2"/>
        <v>1</v>
      </c>
      <c r="M14" s="588"/>
      <c r="O14" s="877">
        <f t="shared" si="0"/>
        <v>2190</v>
      </c>
    </row>
    <row r="15" spans="1:15" ht="13.8">
      <c r="A15" s="474" t="s">
        <v>14</v>
      </c>
      <c r="B15" s="631"/>
      <c r="C15" s="631"/>
      <c r="D15" s="892">
        <v>1535</v>
      </c>
      <c r="E15" s="556"/>
      <c r="F15" s="922">
        <v>1825</v>
      </c>
      <c r="G15" s="523"/>
      <c r="H15" s="555">
        <f>'Pflegetaxe Budget'!D25</f>
        <v>1825</v>
      </c>
      <c r="I15" s="540"/>
      <c r="J15" s="475">
        <f t="shared" si="1"/>
        <v>0.18892508143322484</v>
      </c>
      <c r="K15" s="475"/>
      <c r="L15" s="612">
        <f t="shared" si="2"/>
        <v>0</v>
      </c>
      <c r="M15" s="588"/>
      <c r="O15" s="877">
        <f t="shared" si="0"/>
        <v>1825</v>
      </c>
    </row>
    <row r="16" spans="1:15" ht="13.8">
      <c r="A16" s="474" t="s">
        <v>13</v>
      </c>
      <c r="B16" s="631"/>
      <c r="C16" s="631"/>
      <c r="D16" s="892">
        <v>308</v>
      </c>
      <c r="E16" s="556"/>
      <c r="F16" s="922">
        <v>365</v>
      </c>
      <c r="G16" s="523"/>
      <c r="H16" s="555">
        <f>'Pflegetaxe Budget'!D26</f>
        <v>730</v>
      </c>
      <c r="I16" s="540"/>
      <c r="J16" s="475">
        <f t="shared" si="1"/>
        <v>1.3701298701298703</v>
      </c>
      <c r="K16" s="475"/>
      <c r="L16" s="612">
        <f t="shared" si="2"/>
        <v>1</v>
      </c>
      <c r="M16" s="588"/>
      <c r="O16" s="877">
        <f t="shared" si="0"/>
        <v>730</v>
      </c>
    </row>
    <row r="17" spans="1:15" ht="13.8">
      <c r="A17" s="474" t="s">
        <v>12</v>
      </c>
      <c r="B17" s="631"/>
      <c r="C17" s="631"/>
      <c r="D17" s="892">
        <v>176</v>
      </c>
      <c r="E17" s="556"/>
      <c r="F17" s="922">
        <v>365</v>
      </c>
      <c r="G17" s="523"/>
      <c r="H17" s="555">
        <f>'Pflegetaxe Budget'!D27</f>
        <v>365</v>
      </c>
      <c r="I17" s="540"/>
      <c r="J17" s="475">
        <f t="shared" si="1"/>
        <v>1.0738636363636362</v>
      </c>
      <c r="K17" s="475"/>
      <c r="L17" s="612">
        <f t="shared" si="2"/>
        <v>0</v>
      </c>
      <c r="M17" s="588"/>
      <c r="O17" s="877">
        <f t="shared" si="0"/>
        <v>365</v>
      </c>
    </row>
    <row r="18" spans="1:15" ht="13.8">
      <c r="A18" s="580" t="s">
        <v>130</v>
      </c>
      <c r="B18" s="632"/>
      <c r="C18" s="632"/>
      <c r="D18" s="892">
        <v>3094080</v>
      </c>
      <c r="E18" s="557"/>
      <c r="F18" s="922">
        <v>3172945</v>
      </c>
      <c r="G18" s="524"/>
      <c r="H18" s="555">
        <f>'Pflegetaxe Budget'!F31</f>
        <v>3513125</v>
      </c>
      <c r="I18" s="541"/>
      <c r="J18" s="475">
        <f t="shared" si="1"/>
        <v>0.13543444254835046</v>
      </c>
      <c r="K18" s="475"/>
      <c r="L18" s="612">
        <f t="shared" si="2"/>
        <v>0.10721269987346149</v>
      </c>
      <c r="M18" s="588" t="s">
        <v>365</v>
      </c>
      <c r="O18" s="877">
        <f t="shared" si="0"/>
        <v>3513125</v>
      </c>
    </row>
    <row r="19" spans="1:15" ht="13.8">
      <c r="A19" s="581" t="s">
        <v>278</v>
      </c>
      <c r="B19" s="632"/>
      <c r="C19" s="633"/>
      <c r="D19" s="892">
        <v>43904</v>
      </c>
      <c r="E19" s="558"/>
      <c r="F19" s="922">
        <v>43800</v>
      </c>
      <c r="G19" s="525"/>
      <c r="H19" s="555">
        <f>'Pflegetaxe Budget'!D29</f>
        <v>43470</v>
      </c>
      <c r="I19" s="542"/>
      <c r="J19" s="475">
        <f t="shared" si="1"/>
        <v>-9.8852040816326259E-3</v>
      </c>
      <c r="K19" s="475"/>
      <c r="L19" s="612">
        <f t="shared" si="2"/>
        <v>-7.5342465753425181E-3</v>
      </c>
      <c r="M19" s="589" t="s">
        <v>366</v>
      </c>
      <c r="O19" s="877">
        <f t="shared" si="0"/>
        <v>43470</v>
      </c>
    </row>
    <row r="20" spans="1:15" ht="13.8">
      <c r="A20" s="582" t="s">
        <v>243</v>
      </c>
      <c r="B20" s="632"/>
      <c r="C20" s="634"/>
      <c r="D20" s="892">
        <v>43199</v>
      </c>
      <c r="E20" s="556"/>
      <c r="F20" s="922">
        <v>43435</v>
      </c>
      <c r="G20" s="526"/>
      <c r="H20" s="555">
        <f>'Pflegetaxe Budget'!D30</f>
        <v>43070</v>
      </c>
      <c r="I20" s="542"/>
      <c r="J20" s="475">
        <f t="shared" si="1"/>
        <v>-2.9861802356535572E-3</v>
      </c>
      <c r="K20" s="475"/>
      <c r="L20" s="612">
        <f t="shared" si="2"/>
        <v>-8.4033613445377853E-3</v>
      </c>
      <c r="M20" s="589"/>
      <c r="O20" s="877">
        <f t="shared" si="0"/>
        <v>43070</v>
      </c>
    </row>
    <row r="21" spans="1:15" ht="13.8">
      <c r="A21" s="580" t="s">
        <v>131</v>
      </c>
      <c r="B21" s="707"/>
      <c r="C21" s="633"/>
      <c r="D21" s="892">
        <v>41044</v>
      </c>
      <c r="E21" s="559"/>
      <c r="F21" s="922">
        <v>40880</v>
      </c>
      <c r="G21" s="527"/>
      <c r="H21" s="555">
        <f>'Pflegetaxe Budget'!D31</f>
        <v>42340</v>
      </c>
      <c r="I21" s="542"/>
      <c r="J21" s="475">
        <f t="shared" si="1"/>
        <v>3.1575869798265321E-2</v>
      </c>
      <c r="K21" s="475"/>
      <c r="L21" s="612">
        <f t="shared" si="2"/>
        <v>3.5714285714285809E-2</v>
      </c>
      <c r="M21" s="589" t="s">
        <v>367</v>
      </c>
      <c r="O21" s="877">
        <f t="shared" si="0"/>
        <v>42340</v>
      </c>
    </row>
    <row r="22" spans="1:15" ht="13.8">
      <c r="A22" s="288"/>
      <c r="B22" s="284"/>
      <c r="C22" s="284"/>
      <c r="D22" s="892"/>
      <c r="E22" s="560"/>
      <c r="F22" s="890"/>
      <c r="G22" s="528"/>
      <c r="H22" s="512"/>
      <c r="I22" s="573"/>
      <c r="J22" s="512"/>
      <c r="K22" s="512"/>
      <c r="L22" s="613"/>
      <c r="M22" s="291"/>
      <c r="O22" s="877">
        <f t="shared" si="0"/>
        <v>0</v>
      </c>
    </row>
    <row r="23" spans="1:15" ht="13.8">
      <c r="A23" s="672" t="s">
        <v>132</v>
      </c>
      <c r="B23" s="673"/>
      <c r="C23" s="630"/>
      <c r="D23" s="514" t="s">
        <v>364</v>
      </c>
      <c r="E23" s="579"/>
      <c r="F23" s="888" t="str">
        <f>F3</f>
        <v>Budget 2023</v>
      </c>
      <c r="G23" s="579"/>
      <c r="H23" s="473" t="str">
        <f>$H$3</f>
        <v>Budget 2024</v>
      </c>
      <c r="I23" s="578"/>
      <c r="J23" s="473" t="str">
        <f>+J3</f>
        <v>Δ 2024 zu 2022</v>
      </c>
      <c r="K23" s="579"/>
      <c r="L23" s="611" t="str">
        <f>+L3</f>
        <v>Δ 2024 zu B2023</v>
      </c>
      <c r="M23" s="587"/>
      <c r="O23" s="877" t="str">
        <f t="shared" si="0"/>
        <v>Budget 2024</v>
      </c>
    </row>
    <row r="24" spans="1:15" ht="13.8">
      <c r="A24" s="599"/>
      <c r="B24" s="340"/>
      <c r="C24" s="340"/>
      <c r="D24" s="892" t="s">
        <v>276</v>
      </c>
      <c r="E24" s="294"/>
      <c r="F24" s="889" t="s">
        <v>276</v>
      </c>
      <c r="G24" s="583"/>
      <c r="H24" s="600" t="s">
        <v>276</v>
      </c>
      <c r="I24" s="294"/>
      <c r="J24" s="572"/>
      <c r="K24" s="616"/>
      <c r="L24" s="614"/>
      <c r="M24" s="291"/>
      <c r="O24" s="877" t="str">
        <f t="shared" si="0"/>
        <v>gerundet</v>
      </c>
    </row>
    <row r="25" spans="1:15" ht="13.8">
      <c r="A25" s="474" t="s">
        <v>23</v>
      </c>
      <c r="B25" s="635"/>
      <c r="C25" s="635"/>
      <c r="D25" s="892">
        <v>14</v>
      </c>
      <c r="E25" s="490"/>
      <c r="F25" s="923">
        <v>23</v>
      </c>
      <c r="G25" s="529"/>
      <c r="H25" s="784">
        <f>IFERROR(ROUND('Pflegetaxe Budget'!B16*'Pflegetaxe Budget'!$G$71,0),"")</f>
        <v>21</v>
      </c>
      <c r="I25" s="543"/>
      <c r="J25" s="475">
        <f t="shared" ref="J25:J40" si="3">IFERROR(H25/D25-100%,0)</f>
        <v>0.5</v>
      </c>
      <c r="K25" s="475"/>
      <c r="L25" s="612">
        <f t="shared" ref="L25:L41" si="4">IFERROR(H25/F25-100%,0)</f>
        <v>-8.6956521739130488E-2</v>
      </c>
      <c r="M25" s="588" t="s">
        <v>368</v>
      </c>
      <c r="O25" s="881">
        <f t="shared" si="0"/>
        <v>21</v>
      </c>
    </row>
    <row r="26" spans="1:15" ht="13.8">
      <c r="A26" s="474" t="s">
        <v>22</v>
      </c>
      <c r="B26" s="635"/>
      <c r="C26" s="635"/>
      <c r="D26" s="892">
        <v>41</v>
      </c>
      <c r="E26" s="490"/>
      <c r="F26" s="923">
        <v>41</v>
      </c>
      <c r="G26" s="529"/>
      <c r="H26" s="784">
        <f>IFERROR(ROUND('Pflegetaxe Budget'!B17*'Pflegetaxe Budget'!$G$71,0),"")</f>
        <v>41</v>
      </c>
      <c r="I26" s="543"/>
      <c r="J26" s="475">
        <f t="shared" si="3"/>
        <v>0</v>
      </c>
      <c r="K26" s="475"/>
      <c r="L26" s="612">
        <f t="shared" si="4"/>
        <v>0</v>
      </c>
      <c r="M26" s="588"/>
      <c r="O26" s="881">
        <f t="shared" si="0"/>
        <v>41</v>
      </c>
    </row>
    <row r="27" spans="1:15" ht="13.8">
      <c r="A27" s="474" t="s">
        <v>21</v>
      </c>
      <c r="B27" s="635"/>
      <c r="C27" s="635"/>
      <c r="D27" s="892">
        <v>69</v>
      </c>
      <c r="E27" s="490"/>
      <c r="F27" s="923">
        <v>68</v>
      </c>
      <c r="G27" s="529"/>
      <c r="H27" s="784">
        <f>IFERROR(ROUND('Pflegetaxe Budget'!B18*'Pflegetaxe Budget'!$G$71,0),"")</f>
        <v>69</v>
      </c>
      <c r="I27" s="543"/>
      <c r="J27" s="475">
        <f t="shared" si="3"/>
        <v>0</v>
      </c>
      <c r="K27" s="475"/>
      <c r="L27" s="612">
        <f t="shared" si="4"/>
        <v>1.4705882352941124E-2</v>
      </c>
      <c r="M27" s="588"/>
      <c r="O27" s="881">
        <f t="shared" si="0"/>
        <v>69</v>
      </c>
    </row>
    <row r="28" spans="1:15" ht="13.8">
      <c r="A28" s="474" t="s">
        <v>20</v>
      </c>
      <c r="B28" s="635"/>
      <c r="C28" s="635"/>
      <c r="D28" s="892">
        <v>97</v>
      </c>
      <c r="E28" s="490"/>
      <c r="F28" s="923">
        <v>95</v>
      </c>
      <c r="G28" s="529"/>
      <c r="H28" s="784">
        <f>IFERROR(ROUND('Pflegetaxe Budget'!B19*'Pflegetaxe Budget'!$G$71,0),"")</f>
        <v>96</v>
      </c>
      <c r="I28" s="543"/>
      <c r="J28" s="475">
        <f t="shared" si="3"/>
        <v>-1.0309278350515427E-2</v>
      </c>
      <c r="K28" s="475"/>
      <c r="L28" s="612">
        <f t="shared" si="4"/>
        <v>1.0526315789473717E-2</v>
      </c>
      <c r="M28" s="588"/>
      <c r="O28" s="881">
        <f t="shared" si="0"/>
        <v>96</v>
      </c>
    </row>
    <row r="29" spans="1:15" ht="13.8">
      <c r="A29" s="474" t="s">
        <v>19</v>
      </c>
      <c r="B29" s="635"/>
      <c r="C29" s="635"/>
      <c r="D29" s="892">
        <v>124</v>
      </c>
      <c r="E29" s="490"/>
      <c r="F29" s="923">
        <v>123</v>
      </c>
      <c r="G29" s="529"/>
      <c r="H29" s="784">
        <f>IFERROR(ROUND('Pflegetaxe Budget'!B20*'Pflegetaxe Budget'!$G$71,0),"")</f>
        <v>124</v>
      </c>
      <c r="I29" s="543"/>
      <c r="J29" s="475">
        <f t="shared" si="3"/>
        <v>0</v>
      </c>
      <c r="K29" s="475"/>
      <c r="L29" s="612">
        <f t="shared" si="4"/>
        <v>8.1300813008129413E-3</v>
      </c>
      <c r="M29" s="588"/>
      <c r="O29" s="881">
        <f t="shared" si="0"/>
        <v>124</v>
      </c>
    </row>
    <row r="30" spans="1:15" ht="13.8">
      <c r="A30" s="474" t="s">
        <v>18</v>
      </c>
      <c r="B30" s="635"/>
      <c r="C30" s="635"/>
      <c r="D30" s="892">
        <v>152</v>
      </c>
      <c r="E30" s="490"/>
      <c r="F30" s="923">
        <v>150</v>
      </c>
      <c r="G30" s="529"/>
      <c r="H30" s="784">
        <f>IFERROR(ROUND('Pflegetaxe Budget'!B21*'Pflegetaxe Budget'!$G$71,0),"")</f>
        <v>151</v>
      </c>
      <c r="I30" s="543"/>
      <c r="J30" s="475">
        <f t="shared" si="3"/>
        <v>-6.5789473684210176E-3</v>
      </c>
      <c r="K30" s="475"/>
      <c r="L30" s="612">
        <f t="shared" si="4"/>
        <v>6.6666666666665986E-3</v>
      </c>
      <c r="M30" s="588"/>
      <c r="O30" s="881">
        <f t="shared" si="0"/>
        <v>151</v>
      </c>
    </row>
    <row r="31" spans="1:15" ht="13.8">
      <c r="A31" s="474" t="s">
        <v>17</v>
      </c>
      <c r="B31" s="635"/>
      <c r="C31" s="635"/>
      <c r="D31" s="892">
        <v>180</v>
      </c>
      <c r="E31" s="490"/>
      <c r="F31" s="923">
        <v>177</v>
      </c>
      <c r="G31" s="529"/>
      <c r="H31" s="784">
        <f>IFERROR(ROUND('Pflegetaxe Budget'!B22*'Pflegetaxe Budget'!$G$71,0),"")</f>
        <v>179</v>
      </c>
      <c r="I31" s="543"/>
      <c r="J31" s="475">
        <f t="shared" si="3"/>
        <v>-5.5555555555555358E-3</v>
      </c>
      <c r="K31" s="475"/>
      <c r="L31" s="612">
        <f t="shared" si="4"/>
        <v>1.1299435028248483E-2</v>
      </c>
      <c r="M31" s="588"/>
      <c r="O31" s="881">
        <f t="shared" si="0"/>
        <v>179</v>
      </c>
    </row>
    <row r="32" spans="1:15" ht="13.8">
      <c r="A32" s="474" t="s">
        <v>16</v>
      </c>
      <c r="B32" s="635"/>
      <c r="C32" s="635"/>
      <c r="D32" s="892">
        <v>207</v>
      </c>
      <c r="E32" s="490"/>
      <c r="F32" s="923">
        <v>204</v>
      </c>
      <c r="G32" s="529"/>
      <c r="H32" s="784">
        <f>IFERROR(ROUND('Pflegetaxe Budget'!B23*'Pflegetaxe Budget'!$G$71,0),"")</f>
        <v>206</v>
      </c>
      <c r="I32" s="543"/>
      <c r="J32" s="475">
        <f t="shared" si="3"/>
        <v>-4.8309178743961567E-3</v>
      </c>
      <c r="K32" s="475"/>
      <c r="L32" s="612">
        <f t="shared" si="4"/>
        <v>9.8039215686274161E-3</v>
      </c>
      <c r="M32" s="588"/>
      <c r="O32" s="881">
        <f t="shared" si="0"/>
        <v>206</v>
      </c>
    </row>
    <row r="33" spans="1:15" ht="13.8">
      <c r="A33" s="474" t="s">
        <v>15</v>
      </c>
      <c r="B33" s="635"/>
      <c r="C33" s="635"/>
      <c r="D33" s="892">
        <v>235</v>
      </c>
      <c r="E33" s="490"/>
      <c r="F33" s="923">
        <v>232</v>
      </c>
      <c r="G33" s="529"/>
      <c r="H33" s="784">
        <f>IFERROR(ROUND('Pflegetaxe Budget'!B24*'Pflegetaxe Budget'!$G$71,0),"")</f>
        <v>234</v>
      </c>
      <c r="I33" s="543"/>
      <c r="J33" s="475">
        <f t="shared" si="3"/>
        <v>-4.2553191489361764E-3</v>
      </c>
      <c r="K33" s="475"/>
      <c r="L33" s="612">
        <f t="shared" si="4"/>
        <v>8.6206896551723755E-3</v>
      </c>
      <c r="M33" s="588"/>
      <c r="O33" s="881">
        <f t="shared" si="0"/>
        <v>234</v>
      </c>
    </row>
    <row r="34" spans="1:15" ht="13.8">
      <c r="A34" s="474" t="s">
        <v>14</v>
      </c>
      <c r="B34" s="635"/>
      <c r="C34" s="635"/>
      <c r="D34" s="892">
        <v>262</v>
      </c>
      <c r="E34" s="490"/>
      <c r="F34" s="923">
        <v>259</v>
      </c>
      <c r="G34" s="529"/>
      <c r="H34" s="784">
        <f>IFERROR(ROUND('Pflegetaxe Budget'!B25*'Pflegetaxe Budget'!$G$71,0),"")</f>
        <v>261</v>
      </c>
      <c r="I34" s="543"/>
      <c r="J34" s="475">
        <f t="shared" si="3"/>
        <v>-3.8167938931297218E-3</v>
      </c>
      <c r="K34" s="475"/>
      <c r="L34" s="612">
        <f t="shared" si="4"/>
        <v>7.7220077220077066E-3</v>
      </c>
      <c r="M34" s="588"/>
      <c r="O34" s="881">
        <f t="shared" si="0"/>
        <v>261</v>
      </c>
    </row>
    <row r="35" spans="1:15" ht="13.8">
      <c r="A35" s="474" t="s">
        <v>13</v>
      </c>
      <c r="B35" s="635"/>
      <c r="C35" s="635"/>
      <c r="D35" s="892">
        <v>290</v>
      </c>
      <c r="E35" s="490"/>
      <c r="F35" s="923">
        <v>286</v>
      </c>
      <c r="G35" s="529"/>
      <c r="H35" s="784">
        <f>IFERROR(ROUND('Pflegetaxe Budget'!B26*'Pflegetaxe Budget'!$G$71,0),"")</f>
        <v>289</v>
      </c>
      <c r="I35" s="543"/>
      <c r="J35" s="475">
        <f t="shared" si="3"/>
        <v>-3.4482758620689724E-3</v>
      </c>
      <c r="K35" s="475"/>
      <c r="L35" s="612">
        <f t="shared" si="4"/>
        <v>1.0489510489510412E-2</v>
      </c>
      <c r="M35" s="588"/>
      <c r="O35" s="881">
        <f t="shared" si="0"/>
        <v>289</v>
      </c>
    </row>
    <row r="36" spans="1:15" ht="13.8">
      <c r="A36" s="474" t="s">
        <v>12</v>
      </c>
      <c r="B36" s="635"/>
      <c r="C36" s="635"/>
      <c r="D36" s="892">
        <v>318</v>
      </c>
      <c r="E36" s="606"/>
      <c r="F36" s="923">
        <v>313</v>
      </c>
      <c r="G36" s="529"/>
      <c r="H36" s="784">
        <f>IFERROR(ROUND('Pflegetaxe Budget'!B27*'Pflegetaxe Budget'!$G$71,0),"")</f>
        <v>316</v>
      </c>
      <c r="I36" s="543"/>
      <c r="J36" s="475">
        <f t="shared" si="3"/>
        <v>-6.2893081761006275E-3</v>
      </c>
      <c r="K36" s="475"/>
      <c r="L36" s="612">
        <f t="shared" si="4"/>
        <v>9.5846645367412275E-3</v>
      </c>
      <c r="M36" s="588"/>
      <c r="O36" s="881">
        <f t="shared" si="0"/>
        <v>316</v>
      </c>
    </row>
    <row r="37" spans="1:15" ht="13.8">
      <c r="A37" s="474" t="s">
        <v>133</v>
      </c>
      <c r="B37" s="636"/>
      <c r="C37" s="636"/>
      <c r="D37" s="891">
        <v>1.3810178648766984</v>
      </c>
      <c r="E37" s="809"/>
      <c r="F37" s="924">
        <v>1.3622940906836085</v>
      </c>
      <c r="G37" s="811"/>
      <c r="H37" s="810">
        <f>'Pflegetaxe Budget'!G71</f>
        <v>1.3744176965317787</v>
      </c>
      <c r="I37" s="544"/>
      <c r="J37" s="475">
        <f t="shared" si="3"/>
        <v>-4.7792056227375923E-3</v>
      </c>
      <c r="K37" s="475"/>
      <c r="L37" s="612">
        <f t="shared" si="4"/>
        <v>8.8994042703998133E-3</v>
      </c>
      <c r="M37" s="588" t="s">
        <v>370</v>
      </c>
      <c r="O37" s="882">
        <f t="shared" si="0"/>
        <v>1.3744176965317787</v>
      </c>
    </row>
    <row r="38" spans="1:15" ht="13.8">
      <c r="A38" s="676" t="s">
        <v>134</v>
      </c>
      <c r="B38" s="631"/>
      <c r="C38" s="637"/>
      <c r="D38" s="892">
        <v>32.956588791101638</v>
      </c>
      <c r="E38" s="561"/>
      <c r="F38" s="923">
        <v>33.28181144238517</v>
      </c>
      <c r="G38" s="530"/>
      <c r="H38" s="784">
        <f>'Pflegetaxe Budget'!G91</f>
        <v>37.8264267471558</v>
      </c>
      <c r="I38" s="545"/>
      <c r="J38" s="475">
        <f t="shared" si="3"/>
        <v>0.14776523101107575</v>
      </c>
      <c r="K38" s="475"/>
      <c r="L38" s="612">
        <f t="shared" si="4"/>
        <v>0.13654951782410962</v>
      </c>
      <c r="M38" s="589" t="s">
        <v>369</v>
      </c>
      <c r="O38" s="881">
        <f t="shared" si="0"/>
        <v>37.8264267471558</v>
      </c>
    </row>
    <row r="39" spans="1:15" ht="13.8">
      <c r="A39" s="474" t="s">
        <v>281</v>
      </c>
      <c r="B39" s="635"/>
      <c r="C39" s="638"/>
      <c r="D39" s="892">
        <v>149.09407730570192</v>
      </c>
      <c r="E39" s="605"/>
      <c r="F39" s="925">
        <v>142.6737010806697</v>
      </c>
      <c r="G39" s="608"/>
      <c r="H39" s="808">
        <f>IFERROR(H108,"")</f>
        <v>145.74443393911508</v>
      </c>
      <c r="I39" s="546"/>
      <c r="J39" s="475">
        <f t="shared" si="3"/>
        <v>-2.2466642720614161E-2</v>
      </c>
      <c r="K39" s="475"/>
      <c r="L39" s="612">
        <f t="shared" si="4"/>
        <v>2.1522767231706874E-2</v>
      </c>
      <c r="M39" s="589"/>
      <c r="O39" s="881">
        <f t="shared" si="0"/>
        <v>145.74443393911508</v>
      </c>
    </row>
    <row r="40" spans="1:15" ht="15" customHeight="1">
      <c r="A40" s="677" t="s">
        <v>244</v>
      </c>
      <c r="B40" s="678"/>
      <c r="C40" s="639"/>
      <c r="D40" s="892">
        <v>6082867.9000000004</v>
      </c>
      <c r="E40" s="607"/>
      <c r="F40" s="926">
        <v>6167883.1499999994</v>
      </c>
      <c r="G40" s="807"/>
      <c r="H40" s="887">
        <f>'Pensionstaxe Budget'!G73</f>
        <v>6198908.1499999994</v>
      </c>
      <c r="I40" s="607"/>
      <c r="J40" s="603">
        <f t="shared" si="3"/>
        <v>1.9076569129505394E-2</v>
      </c>
      <c r="K40" s="603"/>
      <c r="L40" s="615">
        <f t="shared" si="4"/>
        <v>5.0300888076972861E-3</v>
      </c>
      <c r="M40" s="604"/>
      <c r="O40" s="877">
        <f t="shared" si="0"/>
        <v>6198908.1499999994</v>
      </c>
    </row>
    <row r="41" spans="1:15" ht="13.8">
      <c r="A41" s="679" t="s">
        <v>245</v>
      </c>
      <c r="B41" s="636"/>
      <c r="C41" s="640"/>
      <c r="D41" s="892">
        <v>138.54928708090381</v>
      </c>
      <c r="E41" s="601"/>
      <c r="F41" s="927">
        <v>140.81924999999998</v>
      </c>
      <c r="G41" s="806"/>
      <c r="H41" s="784">
        <f>IFERROR(H40/H19,"")</f>
        <v>142.60198182654702</v>
      </c>
      <c r="I41" s="602"/>
      <c r="J41" s="475">
        <f>IFERROR(H41/D41-100%,0)</f>
        <v>2.9250924570089598E-2</v>
      </c>
      <c r="K41" s="603"/>
      <c r="L41" s="615">
        <f t="shared" si="4"/>
        <v>1.2659716811068256E-2</v>
      </c>
      <c r="M41" s="604"/>
      <c r="O41" s="881">
        <f t="shared" si="0"/>
        <v>142.60198182654702</v>
      </c>
    </row>
    <row r="42" spans="1:15" ht="12.75" customHeight="1">
      <c r="A42" s="680"/>
      <c r="B42" s="681"/>
      <c r="C42" s="682"/>
      <c r="D42" s="892"/>
      <c r="E42" s="560"/>
      <c r="F42" s="890"/>
      <c r="G42" s="528"/>
      <c r="H42" s="512"/>
      <c r="I42" s="512"/>
      <c r="J42" s="512"/>
      <c r="K42" s="512"/>
      <c r="L42" s="613"/>
      <c r="M42" s="593"/>
      <c r="O42" s="877">
        <f t="shared" si="0"/>
        <v>0</v>
      </c>
    </row>
    <row r="43" spans="1:15" ht="13.8">
      <c r="A43" s="683" t="s">
        <v>246</v>
      </c>
      <c r="B43" s="684"/>
      <c r="C43" s="641"/>
      <c r="D43" s="514" t="s">
        <v>364</v>
      </c>
      <c r="E43" s="578"/>
      <c r="F43" s="888" t="str">
        <f>F3</f>
        <v>Budget 2023</v>
      </c>
      <c r="G43" s="578"/>
      <c r="H43" s="473" t="str">
        <f>$H$3</f>
        <v>Budget 2024</v>
      </c>
      <c r="I43" s="578"/>
      <c r="J43" s="473" t="str">
        <f>+J3</f>
        <v>Δ 2024 zu 2022</v>
      </c>
      <c r="K43" s="579"/>
      <c r="L43" s="611" t="str">
        <f>+L3</f>
        <v>Δ 2024 zu B2023</v>
      </c>
      <c r="M43" s="587"/>
      <c r="O43" s="877" t="str">
        <f t="shared" si="0"/>
        <v>Budget 2024</v>
      </c>
    </row>
    <row r="44" spans="1:15" ht="13.8">
      <c r="A44" s="590" t="s">
        <v>136</v>
      </c>
      <c r="B44" s="690"/>
      <c r="C44" s="685"/>
      <c r="D44" s="898">
        <v>33.05641025641026</v>
      </c>
      <c r="E44" s="562"/>
      <c r="F44" s="909">
        <v>33.898985042735042</v>
      </c>
      <c r="G44" s="531"/>
      <c r="H44" s="576">
        <f>'Pflegetaxe Budget'!I32</f>
        <v>37.533386752136749</v>
      </c>
      <c r="I44" s="539"/>
      <c r="J44" s="574">
        <f t="shared" ref="J44:J46" si="5">IFERROR(H44/D44-100%,0)</f>
        <v>0.13543444254835024</v>
      </c>
      <c r="K44" s="617"/>
      <c r="L44" s="574">
        <f t="shared" ref="L44:L46" si="6">IFERROR(H44/F44-100%,0)</f>
        <v>0.10721269987346127</v>
      </c>
      <c r="M44" s="591"/>
      <c r="O44" s="883">
        <f t="shared" si="0"/>
        <v>37.533386752136749</v>
      </c>
    </row>
    <row r="45" spans="1:15" ht="13.8">
      <c r="A45" s="686" t="s">
        <v>137</v>
      </c>
      <c r="B45" s="687"/>
      <c r="C45" s="642"/>
      <c r="D45" s="898">
        <v>3.3000000000000003</v>
      </c>
      <c r="E45" s="562"/>
      <c r="F45" s="909">
        <v>3.6750000000000003</v>
      </c>
      <c r="G45" s="531"/>
      <c r="H45" s="576">
        <f>'Pflegetaxe Budget'!I42</f>
        <v>3.8250000000000002</v>
      </c>
      <c r="I45" s="539"/>
      <c r="J45" s="628">
        <f t="shared" si="5"/>
        <v>0.15909090909090895</v>
      </c>
      <c r="K45" s="617"/>
      <c r="L45" s="629">
        <f t="shared" si="6"/>
        <v>4.081632653061229E-2</v>
      </c>
      <c r="M45" s="589"/>
      <c r="O45" s="883">
        <f t="shared" si="0"/>
        <v>3.8250000000000002</v>
      </c>
    </row>
    <row r="46" spans="1:15" ht="13.8">
      <c r="A46" s="683" t="s">
        <v>247</v>
      </c>
      <c r="B46" s="684"/>
      <c r="C46" s="641"/>
      <c r="D46" s="897">
        <v>36.356410256410257</v>
      </c>
      <c r="E46" s="578"/>
      <c r="F46" s="897">
        <v>37.573985042735039</v>
      </c>
      <c r="G46" s="578"/>
      <c r="H46" s="625">
        <f>SUM(H44:H45)</f>
        <v>41.358386752136752</v>
      </c>
      <c r="I46" s="578"/>
      <c r="J46" s="879">
        <f t="shared" si="5"/>
        <v>0.13758169358440875</v>
      </c>
      <c r="K46" s="579"/>
      <c r="L46" s="880">
        <f t="shared" si="6"/>
        <v>0.10071866758603054</v>
      </c>
      <c r="M46" s="587"/>
      <c r="O46" s="883">
        <f t="shared" si="0"/>
        <v>41.358386752136752</v>
      </c>
    </row>
    <row r="47" spans="1:15" ht="13.8">
      <c r="A47" s="592" t="s">
        <v>124</v>
      </c>
      <c r="B47" s="478"/>
      <c r="C47" s="688"/>
      <c r="D47" s="898">
        <v>11.6</v>
      </c>
      <c r="E47" s="562"/>
      <c r="F47" s="909">
        <v>11.100000000000001</v>
      </c>
      <c r="G47" s="531"/>
      <c r="H47" s="658">
        <f>'Pflegetaxe Budget'!F77</f>
        <v>10.8</v>
      </c>
      <c r="I47" s="539"/>
      <c r="J47" s="603">
        <f t="shared" ref="J47:J51" si="7">IFERROR(H47/D47-100%,0)</f>
        <v>-6.8965517241379226E-2</v>
      </c>
      <c r="K47" s="617"/>
      <c r="L47" s="603">
        <f t="shared" ref="L47:L51" si="8">IFERROR(H47/F47-100%,0)</f>
        <v>-2.7027027027027084E-2</v>
      </c>
      <c r="M47" s="589"/>
      <c r="O47" s="883">
        <f t="shared" si="0"/>
        <v>10.8</v>
      </c>
    </row>
    <row r="48" spans="1:15" ht="13.8">
      <c r="A48" s="689" t="s">
        <v>125</v>
      </c>
      <c r="B48" s="690"/>
      <c r="C48" s="643"/>
      <c r="D48" s="898">
        <v>15.8</v>
      </c>
      <c r="E48" s="562"/>
      <c r="F48" s="909">
        <v>14.799999999999997</v>
      </c>
      <c r="G48" s="531"/>
      <c r="H48" s="658">
        <f>'Pflegetaxe Budget'!F78</f>
        <v>16.3</v>
      </c>
      <c r="I48" s="539"/>
      <c r="J48" s="603">
        <f t="shared" si="7"/>
        <v>3.1645569620253111E-2</v>
      </c>
      <c r="K48" s="617"/>
      <c r="L48" s="603">
        <f t="shared" si="8"/>
        <v>0.10135135135135154</v>
      </c>
      <c r="M48" s="589"/>
      <c r="O48" s="883">
        <f t="shared" si="0"/>
        <v>16.3</v>
      </c>
    </row>
    <row r="49" spans="1:15" ht="13.8">
      <c r="A49" s="689" t="s">
        <v>126</v>
      </c>
      <c r="B49" s="690"/>
      <c r="C49" s="643"/>
      <c r="D49" s="898">
        <v>24.2</v>
      </c>
      <c r="E49" s="562"/>
      <c r="F49" s="909">
        <v>24.1</v>
      </c>
      <c r="G49" s="531"/>
      <c r="H49" s="658">
        <f>'Pflegetaxe Budget'!F79</f>
        <v>34.1</v>
      </c>
      <c r="I49" s="539"/>
      <c r="J49" s="603">
        <f t="shared" si="7"/>
        <v>0.40909090909090917</v>
      </c>
      <c r="K49" s="617"/>
      <c r="L49" s="603">
        <f t="shared" si="8"/>
        <v>0.41493775933609967</v>
      </c>
      <c r="M49" s="589"/>
      <c r="O49" s="883">
        <f t="shared" si="0"/>
        <v>34.1</v>
      </c>
    </row>
    <row r="50" spans="1:15" ht="13.8">
      <c r="A50" s="474" t="s">
        <v>164</v>
      </c>
      <c r="B50" s="631"/>
      <c r="C50" s="637"/>
      <c r="D50" s="898">
        <v>0.8</v>
      </c>
      <c r="E50" s="562"/>
      <c r="F50" s="909">
        <v>1</v>
      </c>
      <c r="G50" s="531"/>
      <c r="H50" s="658">
        <f>'Pflegetaxe Budget'!F80</f>
        <v>1.2</v>
      </c>
      <c r="I50" s="539"/>
      <c r="J50" s="628">
        <f t="shared" si="7"/>
        <v>0.49999999999999978</v>
      </c>
      <c r="K50" s="617"/>
      <c r="L50" s="629">
        <f t="shared" si="8"/>
        <v>0.19999999999999996</v>
      </c>
      <c r="M50" s="589"/>
      <c r="O50" s="883">
        <f t="shared" si="0"/>
        <v>1.2</v>
      </c>
    </row>
    <row r="51" spans="1:15" ht="13.8">
      <c r="A51" s="683" t="s">
        <v>165</v>
      </c>
      <c r="B51" s="684"/>
      <c r="C51" s="641"/>
      <c r="D51" s="897">
        <v>51.599999999999994</v>
      </c>
      <c r="E51" s="578"/>
      <c r="F51" s="897">
        <v>50</v>
      </c>
      <c r="G51" s="578"/>
      <c r="H51" s="625">
        <f>SUM(H47:H50)</f>
        <v>62.400000000000006</v>
      </c>
      <c r="I51" s="578"/>
      <c r="J51" s="879">
        <f t="shared" si="7"/>
        <v>0.2093023255813955</v>
      </c>
      <c r="K51" s="579"/>
      <c r="L51" s="880">
        <f t="shared" si="8"/>
        <v>0.24800000000000022</v>
      </c>
      <c r="M51" s="587"/>
      <c r="O51" s="883">
        <f t="shared" si="0"/>
        <v>62.400000000000006</v>
      </c>
    </row>
    <row r="52" spans="1:15" ht="13.8">
      <c r="A52" s="592" t="s">
        <v>166</v>
      </c>
      <c r="B52" s="478"/>
      <c r="C52" s="688"/>
      <c r="D52" s="898">
        <v>12</v>
      </c>
      <c r="E52" s="562"/>
      <c r="F52" s="909">
        <v>15</v>
      </c>
      <c r="G52" s="531"/>
      <c r="H52" s="576">
        <f>+'Pflegetaxe Budget'!F81</f>
        <v>13</v>
      </c>
      <c r="I52" s="539"/>
      <c r="J52" s="603">
        <f t="shared" ref="J52:J53" si="9">IFERROR(H52/D52-100%,0)</f>
        <v>8.3333333333333259E-2</v>
      </c>
      <c r="K52" s="617"/>
      <c r="L52" s="603">
        <f t="shared" ref="L52:L53" si="10">IFERROR(H52/F52-100%,0)</f>
        <v>-0.1333333333333333</v>
      </c>
      <c r="M52" s="589"/>
      <c r="O52" s="883">
        <f t="shared" si="0"/>
        <v>13</v>
      </c>
    </row>
    <row r="53" spans="1:15" ht="13.8">
      <c r="A53" s="691" t="s">
        <v>167</v>
      </c>
      <c r="B53" s="690"/>
      <c r="C53" s="643"/>
      <c r="D53" s="898">
        <v>3.5</v>
      </c>
      <c r="E53" s="563"/>
      <c r="F53" s="910">
        <v>5</v>
      </c>
      <c r="G53" s="532"/>
      <c r="H53" s="576">
        <f>'Pflegetaxe Budget'!F82</f>
        <v>4.5</v>
      </c>
      <c r="I53" s="539"/>
      <c r="J53" s="628">
        <f t="shared" si="9"/>
        <v>0.28571428571428581</v>
      </c>
      <c r="K53" s="617"/>
      <c r="L53" s="629">
        <f t="shared" si="10"/>
        <v>-9.9999999999999978E-2</v>
      </c>
      <c r="M53" s="593"/>
      <c r="O53" s="883">
        <f t="shared" si="0"/>
        <v>4.5</v>
      </c>
    </row>
    <row r="54" spans="1:15" ht="13.8">
      <c r="A54" s="672" t="s">
        <v>275</v>
      </c>
      <c r="B54" s="684"/>
      <c r="C54" s="641"/>
      <c r="D54" s="514" t="s">
        <v>364</v>
      </c>
      <c r="E54" s="578"/>
      <c r="F54" s="888" t="str">
        <f>F3</f>
        <v>Budget 2023</v>
      </c>
      <c r="G54" s="578"/>
      <c r="H54" s="473" t="str">
        <f>$H$3</f>
        <v>Budget 2024</v>
      </c>
      <c r="I54" s="578"/>
      <c r="J54" s="473" t="str">
        <f>+J3</f>
        <v>Δ 2024 zu 2022</v>
      </c>
      <c r="K54" s="579"/>
      <c r="L54" s="611" t="str">
        <f>+L3</f>
        <v>Δ 2024 zu B2023</v>
      </c>
      <c r="M54" s="587"/>
      <c r="O54" s="877" t="str">
        <f t="shared" si="0"/>
        <v>Budget 2024</v>
      </c>
    </row>
    <row r="55" spans="1:15" ht="13.8">
      <c r="A55" s="692" t="s">
        <v>169</v>
      </c>
      <c r="B55" s="693"/>
      <c r="C55" s="644"/>
      <c r="D55" s="896">
        <v>0.22480620155038764</v>
      </c>
      <c r="E55" s="564"/>
      <c r="F55" s="911">
        <v>0.2</v>
      </c>
      <c r="G55" s="533"/>
      <c r="H55" s="565">
        <f>'Pflegetaxe Budget'!E49</f>
        <v>0.18</v>
      </c>
      <c r="I55" s="547"/>
      <c r="J55" s="480">
        <f t="shared" ref="J55:J59" si="11">IFERROR(H55/D55-100%,0)</f>
        <v>-0.19931034482758636</v>
      </c>
      <c r="K55" s="483"/>
      <c r="L55" s="481">
        <f t="shared" ref="L55:L59" si="12">IFERROR(H55/F55-100%,0)</f>
        <v>-0.10000000000000009</v>
      </c>
      <c r="M55" s="588"/>
      <c r="O55" s="884">
        <f t="shared" si="0"/>
        <v>0.18</v>
      </c>
    </row>
    <row r="56" spans="1:15" ht="13.8">
      <c r="A56" s="692" t="s">
        <v>170</v>
      </c>
      <c r="B56" s="693"/>
      <c r="C56" s="644"/>
      <c r="D56" s="896">
        <v>0.30620155038759694</v>
      </c>
      <c r="E56" s="564"/>
      <c r="F56" s="911">
        <v>0.25</v>
      </c>
      <c r="G56" s="533"/>
      <c r="H56" s="565">
        <f>'Pflegetaxe Budget'!E50</f>
        <v>0.3</v>
      </c>
      <c r="I56" s="547"/>
      <c r="J56" s="480">
        <f t="shared" si="11"/>
        <v>-2.0253164556962244E-2</v>
      </c>
      <c r="K56" s="483"/>
      <c r="L56" s="481">
        <f t="shared" si="12"/>
        <v>0.19999999999999996</v>
      </c>
      <c r="M56" s="588"/>
      <c r="O56" s="884">
        <f t="shared" si="0"/>
        <v>0.3</v>
      </c>
    </row>
    <row r="57" spans="1:15" ht="13.8">
      <c r="A57" s="692" t="s">
        <v>171</v>
      </c>
      <c r="B57" s="693"/>
      <c r="C57" s="644"/>
      <c r="D57" s="896">
        <v>0.46899224806201545</v>
      </c>
      <c r="E57" s="564"/>
      <c r="F57" s="911">
        <v>0.55000000000000004</v>
      </c>
      <c r="G57" s="533"/>
      <c r="H57" s="565">
        <f>'Pflegetaxe Budget'!E51</f>
        <v>0.52</v>
      </c>
      <c r="I57" s="547"/>
      <c r="J57" s="480">
        <f t="shared" si="11"/>
        <v>0.10876033057851253</v>
      </c>
      <c r="K57" s="483"/>
      <c r="L57" s="481">
        <f t="shared" si="12"/>
        <v>-5.4545454545454564E-2</v>
      </c>
      <c r="M57" s="588"/>
      <c r="O57" s="884">
        <f t="shared" si="0"/>
        <v>0.52</v>
      </c>
    </row>
    <row r="58" spans="1:15" ht="13.8">
      <c r="A58" s="474" t="s">
        <v>172</v>
      </c>
      <c r="B58" s="631"/>
      <c r="C58" s="637"/>
      <c r="D58" s="564">
        <v>0</v>
      </c>
      <c r="E58" s="565"/>
      <c r="F58" s="564">
        <v>0.3</v>
      </c>
      <c r="G58" s="534"/>
      <c r="H58" s="565">
        <f>IFERROR(H52/(H47+H48+H49+H50),"")</f>
        <v>0.20833333333333331</v>
      </c>
      <c r="I58" s="547"/>
      <c r="J58" s="480">
        <f t="shared" si="11"/>
        <v>0</v>
      </c>
      <c r="K58" s="483"/>
      <c r="L58" s="481">
        <f t="shared" si="12"/>
        <v>-0.30555555555555558</v>
      </c>
      <c r="M58" s="588"/>
      <c r="O58" s="884">
        <f t="shared" si="0"/>
        <v>0.20833333333333331</v>
      </c>
    </row>
    <row r="59" spans="1:15" ht="13.8">
      <c r="A59" s="474" t="s">
        <v>251</v>
      </c>
      <c r="B59" s="631"/>
      <c r="C59" s="637"/>
      <c r="D59" s="564">
        <v>0.70458159411647792</v>
      </c>
      <c r="E59" s="565"/>
      <c r="F59" s="564">
        <v>0.75147970085470073</v>
      </c>
      <c r="G59" s="534"/>
      <c r="H59" s="565">
        <f>IFERROR((H44+H45)/(H47+H48+H49+H50),"")</f>
        <v>0.662794659489371</v>
      </c>
      <c r="I59" s="547"/>
      <c r="J59" s="480">
        <f t="shared" si="11"/>
        <v>-5.9307445689815941E-2</v>
      </c>
      <c r="K59" s="483"/>
      <c r="L59" s="481">
        <f t="shared" si="12"/>
        <v>-0.11801388815221914</v>
      </c>
      <c r="M59" s="588"/>
      <c r="O59" s="884">
        <f t="shared" si="0"/>
        <v>0.662794659489371</v>
      </c>
    </row>
    <row r="60" spans="1:15" ht="13.8">
      <c r="A60" s="694"/>
      <c r="B60" s="695"/>
      <c r="C60" s="645"/>
      <c r="D60" s="515"/>
      <c r="E60" s="515"/>
      <c r="F60" s="564"/>
      <c r="G60" s="535"/>
      <c r="H60" s="565"/>
      <c r="I60" s="547"/>
      <c r="J60" s="480"/>
      <c r="K60" s="483"/>
      <c r="L60" s="481"/>
      <c r="M60" s="588"/>
      <c r="O60" s="884">
        <f t="shared" si="0"/>
        <v>0</v>
      </c>
    </row>
    <row r="61" spans="1:15" ht="13.8">
      <c r="A61" s="672" t="s">
        <v>248</v>
      </c>
      <c r="B61" s="673"/>
      <c r="C61" s="630"/>
      <c r="D61" s="514" t="s">
        <v>364</v>
      </c>
      <c r="E61" s="578"/>
      <c r="F61" s="888" t="str">
        <f>F3</f>
        <v>Budget 2023</v>
      </c>
      <c r="G61" s="578"/>
      <c r="H61" s="473" t="str">
        <f>$H$3</f>
        <v>Budget 2024</v>
      </c>
      <c r="I61" s="578"/>
      <c r="J61" s="473" t="str">
        <f>+J3</f>
        <v>Δ 2024 zu 2022</v>
      </c>
      <c r="K61" s="579"/>
      <c r="L61" s="611" t="str">
        <f>+L3</f>
        <v>Δ 2024 zu B2023</v>
      </c>
      <c r="M61" s="587"/>
      <c r="O61" s="877" t="str">
        <f t="shared" si="0"/>
        <v>Budget 2024</v>
      </c>
    </row>
    <row r="62" spans="1:15" ht="13.8">
      <c r="A62" s="474" t="s">
        <v>173</v>
      </c>
      <c r="B62" s="631"/>
      <c r="C62" s="637"/>
      <c r="D62" s="899">
        <v>7271.9838196286482</v>
      </c>
      <c r="E62" s="566"/>
      <c r="F62" s="917">
        <v>7100</v>
      </c>
      <c r="G62" s="805"/>
      <c r="H62" s="785">
        <f>'Pflegetaxe Budget'!G49</f>
        <v>7400</v>
      </c>
      <c r="I62" s="548"/>
      <c r="J62" s="480">
        <f t="shared" ref="J62:J67" si="13">IFERROR(H62/D62-100%,0)</f>
        <v>1.7604024368949922E-2</v>
      </c>
      <c r="K62" s="483"/>
      <c r="L62" s="481">
        <f t="shared" ref="L62:L67" si="14">IFERROR(H62/F62-100%,0)</f>
        <v>4.2253521126760507E-2</v>
      </c>
      <c r="M62" s="591" t="s">
        <v>371</v>
      </c>
      <c r="O62" s="877">
        <f t="shared" si="0"/>
        <v>7400</v>
      </c>
    </row>
    <row r="63" spans="1:15" ht="13.8">
      <c r="A63" s="474" t="s">
        <v>174</v>
      </c>
      <c r="B63" s="631"/>
      <c r="C63" s="637"/>
      <c r="D63" s="899">
        <v>5810.0644888023371</v>
      </c>
      <c r="E63" s="566"/>
      <c r="F63" s="917">
        <v>5600</v>
      </c>
      <c r="G63" s="805"/>
      <c r="H63" s="785">
        <f>'Pflegetaxe Budget'!G50</f>
        <v>5800</v>
      </c>
      <c r="I63" s="548"/>
      <c r="J63" s="480">
        <f t="shared" si="13"/>
        <v>-1.7322507902853834E-3</v>
      </c>
      <c r="K63" s="483"/>
      <c r="L63" s="481">
        <f t="shared" si="14"/>
        <v>3.5714285714285809E-2</v>
      </c>
      <c r="M63" s="588" t="s">
        <v>371</v>
      </c>
      <c r="O63" s="877">
        <f t="shared" si="0"/>
        <v>5800</v>
      </c>
    </row>
    <row r="64" spans="1:15" ht="13.8">
      <c r="A64" s="474" t="s">
        <v>175</v>
      </c>
      <c r="B64" s="631"/>
      <c r="C64" s="637"/>
      <c r="D64" s="899">
        <v>4645.5262555626196</v>
      </c>
      <c r="E64" s="566"/>
      <c r="F64" s="917">
        <v>4950</v>
      </c>
      <c r="G64" s="805"/>
      <c r="H64" s="785">
        <f>'Pflegetaxe Budget'!G51</f>
        <v>4950</v>
      </c>
      <c r="I64" s="548"/>
      <c r="J64" s="480">
        <f t="shared" si="13"/>
        <v>6.5541281587376599E-2</v>
      </c>
      <c r="K64" s="483"/>
      <c r="L64" s="481">
        <f t="shared" si="14"/>
        <v>0</v>
      </c>
      <c r="M64" s="588" t="s">
        <v>371</v>
      </c>
      <c r="O64" s="877">
        <f t="shared" si="0"/>
        <v>4950</v>
      </c>
    </row>
    <row r="65" spans="1:18" ht="15" customHeight="1">
      <c r="A65" s="696" t="s">
        <v>285</v>
      </c>
      <c r="B65" s="697"/>
      <c r="C65" s="646"/>
      <c r="D65" s="566"/>
      <c r="E65" s="566"/>
      <c r="F65" s="921"/>
      <c r="G65" s="805"/>
      <c r="H65" s="785"/>
      <c r="I65" s="548"/>
      <c r="J65" s="480">
        <f t="shared" si="13"/>
        <v>0</v>
      </c>
      <c r="K65" s="483"/>
      <c r="L65" s="481">
        <f t="shared" si="14"/>
        <v>0</v>
      </c>
      <c r="M65" s="589" t="s">
        <v>307</v>
      </c>
      <c r="O65" s="877">
        <f t="shared" si="0"/>
        <v>0</v>
      </c>
    </row>
    <row r="66" spans="1:18" ht="13.8">
      <c r="A66" s="474" t="s">
        <v>177</v>
      </c>
      <c r="B66" s="631"/>
      <c r="C66" s="637"/>
      <c r="D66" s="899">
        <v>228646.79199999999</v>
      </c>
      <c r="E66" s="566"/>
      <c r="F66" s="917">
        <v>216640</v>
      </c>
      <c r="G66" s="805"/>
      <c r="H66" s="785">
        <f>'Pflegetaxe Budget'!I52</f>
        <v>242960</v>
      </c>
      <c r="I66" s="548"/>
      <c r="J66" s="480">
        <f t="shared" si="13"/>
        <v>6.2599644958062806E-2</v>
      </c>
      <c r="K66" s="483"/>
      <c r="L66" s="481">
        <f t="shared" si="14"/>
        <v>0.12149187592319044</v>
      </c>
      <c r="M66" s="588"/>
      <c r="O66" s="877">
        <f t="shared" si="0"/>
        <v>242960</v>
      </c>
    </row>
    <row r="67" spans="1:18" ht="13.8">
      <c r="A67" s="694" t="s">
        <v>293</v>
      </c>
      <c r="B67" s="695"/>
      <c r="C67" s="645"/>
      <c r="D67" s="893">
        <v>0.23710000000000001</v>
      </c>
      <c r="E67" s="567"/>
      <c r="F67" s="914">
        <v>0.218</v>
      </c>
      <c r="G67" s="536"/>
      <c r="H67" s="575">
        <f>'Pflegetaxe Budget'!G54</f>
        <v>0.23</v>
      </c>
      <c r="I67" s="549"/>
      <c r="J67" s="482">
        <f t="shared" si="13"/>
        <v>-2.9945170814002497E-2</v>
      </c>
      <c r="K67" s="521"/>
      <c r="L67" s="479">
        <f t="shared" si="14"/>
        <v>5.5045871559633142E-2</v>
      </c>
      <c r="M67" s="594"/>
      <c r="O67" s="884">
        <f t="shared" ref="O67:O97" si="15">H67</f>
        <v>0.23</v>
      </c>
    </row>
    <row r="68" spans="1:18" ht="13.8">
      <c r="A68" s="672" t="s">
        <v>180</v>
      </c>
      <c r="B68" s="673"/>
      <c r="C68" s="630"/>
      <c r="D68" s="514" t="s">
        <v>364</v>
      </c>
      <c r="E68" s="578"/>
      <c r="F68" s="888" t="str">
        <f>F3</f>
        <v>Budget 2023</v>
      </c>
      <c r="G68" s="578"/>
      <c r="H68" s="473" t="str">
        <f>$H$3</f>
        <v>Budget 2024</v>
      </c>
      <c r="I68" s="578"/>
      <c r="J68" s="473" t="str">
        <f>+J3</f>
        <v>Δ 2024 zu 2022</v>
      </c>
      <c r="K68" s="579"/>
      <c r="L68" s="611" t="str">
        <f>+L3</f>
        <v>Δ 2024 zu B2023</v>
      </c>
      <c r="M68" s="587"/>
      <c r="O68" s="877" t="str">
        <f t="shared" si="15"/>
        <v>Budget 2024</v>
      </c>
    </row>
    <row r="69" spans="1:18" s="478" customFormat="1" ht="13.2">
      <c r="A69" s="592" t="s">
        <v>181</v>
      </c>
      <c r="C69" s="688"/>
      <c r="D69" s="894">
        <v>1560</v>
      </c>
      <c r="E69" s="568"/>
      <c r="F69" s="912">
        <v>1560</v>
      </c>
      <c r="G69" s="537"/>
      <c r="H69" s="626">
        <f>'Pflegetaxe Budget'!I10</f>
        <v>1560</v>
      </c>
      <c r="I69" s="550"/>
      <c r="J69" s="480">
        <f t="shared" ref="J69:J72" si="16">IFERROR(H69/D69-100%,0)</f>
        <v>0</v>
      </c>
      <c r="K69" s="483"/>
      <c r="L69" s="481">
        <f t="shared" ref="L69:L72" si="17">IFERROR(H69/F69-100%,0)</f>
        <v>0</v>
      </c>
      <c r="M69" s="594"/>
      <c r="N69" s="712"/>
      <c r="O69" s="885">
        <f t="shared" si="15"/>
        <v>1560</v>
      </c>
      <c r="P69" s="712"/>
      <c r="Q69" s="712"/>
      <c r="R69" s="712"/>
    </row>
    <row r="70" spans="1:18" s="478" customFormat="1" ht="13.2">
      <c r="A70" s="595" t="s">
        <v>182</v>
      </c>
      <c r="C70" s="688"/>
      <c r="D70" s="267">
        <v>4.2692232725855179</v>
      </c>
      <c r="E70" s="569"/>
      <c r="F70" s="928">
        <v>4.3214285714285712</v>
      </c>
      <c r="G70" s="538"/>
      <c r="H70" s="576">
        <f>IFERROR(+(Vergleiche!H6*1+Vergleiche!H7*2+Vergleiche!H8*3+Vergleiche!H9*4+Vergleiche!H10*5+Vergleiche!H11*6+Vergleiche!H12*7+Vergleiche!H13*8+Vergleiche!H14*9+Vergleiche!H15*10+Vergleiche!H16*11+Vergleiche!H17*12)/Vergleiche!H21,"")</f>
        <v>4.6034482758620694</v>
      </c>
      <c r="I70" s="551"/>
      <c r="J70" s="480">
        <f t="shared" si="16"/>
        <v>7.8287075174247933E-2</v>
      </c>
      <c r="K70" s="483"/>
      <c r="L70" s="481">
        <f t="shared" si="17"/>
        <v>6.5260758050726952E-2</v>
      </c>
      <c r="M70" s="594"/>
      <c r="N70" s="712"/>
      <c r="O70" s="883">
        <f t="shared" si="15"/>
        <v>4.6034482758620694</v>
      </c>
      <c r="P70" s="712"/>
      <c r="Q70" s="712"/>
      <c r="R70" s="712"/>
    </row>
    <row r="71" spans="1:18" s="478" customFormat="1" ht="14.25" customHeight="1">
      <c r="A71" s="595" t="s">
        <v>282</v>
      </c>
      <c r="C71" s="688"/>
      <c r="D71" s="900">
        <v>3818595.7761731995</v>
      </c>
      <c r="E71" s="570"/>
      <c r="F71" s="929">
        <v>3870974.52</v>
      </c>
      <c r="G71" s="803"/>
      <c r="H71" s="785">
        <f>'Pflegetaxe Budget'!I55</f>
        <v>4346155.8</v>
      </c>
      <c r="I71" s="551"/>
      <c r="J71" s="480">
        <f t="shared" si="16"/>
        <v>0.13815550394692311</v>
      </c>
      <c r="K71" s="483"/>
      <c r="L71" s="481">
        <f t="shared" si="17"/>
        <v>0.12275494905608419</v>
      </c>
      <c r="M71" s="594"/>
      <c r="N71" s="712"/>
      <c r="O71" s="877">
        <f t="shared" si="15"/>
        <v>4346155.8</v>
      </c>
      <c r="P71" s="712"/>
      <c r="Q71" s="712"/>
      <c r="R71" s="712"/>
    </row>
    <row r="72" spans="1:18" s="478" customFormat="1" ht="14.25" customHeight="1">
      <c r="A72" s="595" t="s">
        <v>183</v>
      </c>
      <c r="C72" s="688"/>
      <c r="D72" s="793"/>
      <c r="E72" s="520"/>
      <c r="F72" s="917"/>
      <c r="G72" s="804"/>
      <c r="H72" s="785"/>
      <c r="I72" s="548"/>
      <c r="J72" s="480">
        <f t="shared" si="16"/>
        <v>0</v>
      </c>
      <c r="K72" s="483"/>
      <c r="L72" s="481">
        <f t="shared" si="17"/>
        <v>0</v>
      </c>
      <c r="M72" s="594"/>
      <c r="N72" s="712"/>
      <c r="O72" s="877">
        <f t="shared" si="15"/>
        <v>0</v>
      </c>
      <c r="P72" s="712"/>
      <c r="Q72" s="712"/>
      <c r="R72" s="712"/>
    </row>
    <row r="73" spans="1:18" ht="13.8">
      <c r="A73" s="672" t="s">
        <v>184</v>
      </c>
      <c r="B73" s="673"/>
      <c r="C73" s="630"/>
      <c r="D73" s="514" t="s">
        <v>364</v>
      </c>
      <c r="E73" s="578"/>
      <c r="F73" s="888" t="str">
        <f>F3</f>
        <v>Budget 2023</v>
      </c>
      <c r="G73" s="578"/>
      <c r="H73" s="473" t="str">
        <f>$H$3</f>
        <v>Budget 2024</v>
      </c>
      <c r="I73" s="578"/>
      <c r="J73" s="473" t="str">
        <f>+J3</f>
        <v>Δ 2024 zu 2022</v>
      </c>
      <c r="K73" s="579"/>
      <c r="L73" s="611" t="str">
        <f>+L3</f>
        <v>Δ 2024 zu B2023</v>
      </c>
      <c r="M73" s="587"/>
      <c r="O73" s="877" t="str">
        <f t="shared" si="15"/>
        <v>Budget 2024</v>
      </c>
    </row>
    <row r="74" spans="1:18" ht="13.8">
      <c r="A74" s="595" t="s">
        <v>185</v>
      </c>
      <c r="B74" s="478"/>
      <c r="C74" s="688"/>
      <c r="D74" s="895">
        <v>0.27157833127428754</v>
      </c>
      <c r="E74" s="609"/>
      <c r="F74" s="913">
        <v>0.27190378006872851</v>
      </c>
      <c r="G74" s="610"/>
      <c r="H74" s="577">
        <f>'Pflegetaxe Budget'!G90</f>
        <v>0.27265129682997119</v>
      </c>
      <c r="I74" s="552"/>
      <c r="J74" s="480">
        <f t="shared" ref="J74:J76" si="18">IFERROR(H74/D74-100%,0)</f>
        <v>3.9508511251582501E-3</v>
      </c>
      <c r="K74" s="483"/>
      <c r="L74" s="481">
        <f t="shared" ref="L74:L76" si="19">IFERROR(H74/F74-100%,0)</f>
        <v>2.7491959142815769E-3</v>
      </c>
      <c r="M74" s="594"/>
      <c r="O74" s="886">
        <f t="shared" si="15"/>
        <v>0.27265129682997119</v>
      </c>
    </row>
    <row r="75" spans="1:18" ht="14.25" customHeight="1">
      <c r="A75" s="595" t="s">
        <v>284</v>
      </c>
      <c r="B75" s="478"/>
      <c r="C75" s="688"/>
      <c r="D75" s="901">
        <v>5242287.4553599991</v>
      </c>
      <c r="E75" s="571"/>
      <c r="F75" s="930">
        <v>5316570</v>
      </c>
      <c r="G75" s="800"/>
      <c r="H75" s="801">
        <f>'Pflegetaxe Budget'!I84</f>
        <v>5975340</v>
      </c>
      <c r="I75" s="553"/>
      <c r="J75" s="480">
        <f t="shared" si="18"/>
        <v>0.13983448082201</v>
      </c>
      <c r="K75" s="483"/>
      <c r="L75" s="481">
        <f t="shared" si="19"/>
        <v>0.12390883596002689</v>
      </c>
      <c r="M75" s="596"/>
      <c r="O75" s="877">
        <f t="shared" si="15"/>
        <v>5975340</v>
      </c>
    </row>
    <row r="76" spans="1:18" ht="13.8">
      <c r="A76" s="597" t="s">
        <v>283</v>
      </c>
      <c r="B76" s="647"/>
      <c r="C76" s="698"/>
      <c r="D76" s="907">
        <v>101594.71812713178</v>
      </c>
      <c r="E76" s="627"/>
      <c r="F76" s="920">
        <v>106331.4</v>
      </c>
      <c r="G76" s="802"/>
      <c r="H76" s="786">
        <f>IFERROR(H75/H51,"")</f>
        <v>95758.653846153844</v>
      </c>
      <c r="I76" s="554"/>
      <c r="J76" s="482">
        <f t="shared" si="18"/>
        <v>-5.7444563935645787E-2</v>
      </c>
      <c r="K76" s="521"/>
      <c r="L76" s="479">
        <f t="shared" si="19"/>
        <v>-9.943202246792715E-2</v>
      </c>
      <c r="M76" s="598"/>
      <c r="O76" s="877">
        <f t="shared" si="15"/>
        <v>95758.653846153844</v>
      </c>
    </row>
    <row r="77" spans="1:18" ht="13.8">
      <c r="A77" s="683" t="s">
        <v>279</v>
      </c>
      <c r="B77" s="684"/>
      <c r="C77" s="641"/>
      <c r="D77" s="514" t="s">
        <v>364</v>
      </c>
      <c r="E77" s="578"/>
      <c r="F77" s="888" t="str">
        <f>F3</f>
        <v>Budget 2023</v>
      </c>
      <c r="G77" s="578"/>
      <c r="H77" s="473" t="str">
        <f>$H$3</f>
        <v>Budget 2024</v>
      </c>
      <c r="I77" s="578"/>
      <c r="J77" s="473" t="str">
        <f>+J3</f>
        <v>Δ 2024 zu 2022</v>
      </c>
      <c r="K77" s="579"/>
      <c r="L77" s="611" t="str">
        <f>+L3</f>
        <v>Δ 2024 zu B2023</v>
      </c>
      <c r="M77" s="587"/>
      <c r="O77" s="877" t="str">
        <f t="shared" si="15"/>
        <v>Budget 2024</v>
      </c>
    </row>
    <row r="78" spans="1:18" ht="13.8">
      <c r="A78" s="474" t="str">
        <f>'Pensionstaxe Budget'!A7</f>
        <v>Besoldung Verwaltung</v>
      </c>
      <c r="B78" s="708"/>
      <c r="C78" s="648"/>
      <c r="D78" s="902">
        <v>420548.1</v>
      </c>
      <c r="E78" s="620"/>
      <c r="F78" s="915">
        <v>476000</v>
      </c>
      <c r="G78" s="790"/>
      <c r="H78" s="791">
        <f>'Pensionstaxe Budget'!H7</f>
        <v>476000</v>
      </c>
      <c r="I78" s="621"/>
      <c r="J78" s="574">
        <f t="shared" ref="J78:J108" si="20">IFERROR(H78/D78-100%,0)</f>
        <v>0.13185626091284219</v>
      </c>
      <c r="K78" s="574"/>
      <c r="L78" s="622">
        <f t="shared" ref="L78:L108" si="21">IFERROR(H78/F78-100%,0)</f>
        <v>0</v>
      </c>
      <c r="M78" s="618" t="s">
        <v>372</v>
      </c>
      <c r="O78" s="877">
        <f t="shared" si="15"/>
        <v>476000</v>
      </c>
    </row>
    <row r="79" spans="1:18" ht="13.8">
      <c r="A79" s="474" t="str">
        <f>'Pensionstaxe Budget'!A8</f>
        <v>Besoldung Verpflegung</v>
      </c>
      <c r="B79" s="635"/>
      <c r="C79" s="638"/>
      <c r="D79" s="903">
        <v>1119493.5</v>
      </c>
      <c r="E79" s="619"/>
      <c r="F79" s="916">
        <v>1035000</v>
      </c>
      <c r="G79" s="792"/>
      <c r="H79" s="791">
        <f>'Pensionstaxe Budget'!H8</f>
        <v>1035000</v>
      </c>
      <c r="I79" s="623"/>
      <c r="J79" s="475">
        <f t="shared" si="20"/>
        <v>-7.5474757111140045E-2</v>
      </c>
      <c r="K79" s="475"/>
      <c r="L79" s="612">
        <f t="shared" si="21"/>
        <v>0</v>
      </c>
      <c r="M79" s="594"/>
      <c r="O79" s="877">
        <f t="shared" si="15"/>
        <v>1035000</v>
      </c>
    </row>
    <row r="80" spans="1:18" ht="13.8">
      <c r="A80" s="474" t="str">
        <f>'Pensionstaxe Budget'!A9</f>
        <v>Besoldung Hausdienst inkl. Wäscherei</v>
      </c>
      <c r="B80" s="635"/>
      <c r="C80" s="638"/>
      <c r="D80" s="903">
        <v>1077352.8500000001</v>
      </c>
      <c r="E80" s="619"/>
      <c r="F80" s="916">
        <v>1067000</v>
      </c>
      <c r="G80" s="792"/>
      <c r="H80" s="791">
        <f>'Pensionstaxe Budget'!H9</f>
        <v>1067000</v>
      </c>
      <c r="I80" s="623"/>
      <c r="J80" s="475">
        <f t="shared" si="20"/>
        <v>-9.6095257927800715E-3</v>
      </c>
      <c r="K80" s="475"/>
      <c r="L80" s="612">
        <f t="shared" si="21"/>
        <v>0</v>
      </c>
      <c r="M80" s="594"/>
      <c r="O80" s="877">
        <f t="shared" si="15"/>
        <v>1067000</v>
      </c>
    </row>
    <row r="81" spans="1:15" ht="13.8">
      <c r="A81" s="474" t="str">
        <f>'Pensionstaxe Budget'!A10</f>
        <v>Besoldung Techn. Dienst</v>
      </c>
      <c r="B81" s="635"/>
      <c r="C81" s="638"/>
      <c r="D81" s="903">
        <v>427749</v>
      </c>
      <c r="E81" s="619"/>
      <c r="F81" s="916">
        <v>445000</v>
      </c>
      <c r="G81" s="792"/>
      <c r="H81" s="791">
        <f>'Pensionstaxe Budget'!H10</f>
        <v>445000</v>
      </c>
      <c r="I81" s="623"/>
      <c r="J81" s="475">
        <f t="shared" si="20"/>
        <v>4.0329726077676487E-2</v>
      </c>
      <c r="K81" s="475"/>
      <c r="L81" s="612">
        <f t="shared" si="21"/>
        <v>0</v>
      </c>
      <c r="M81" s="594"/>
      <c r="O81" s="877">
        <f t="shared" si="15"/>
        <v>445000</v>
      </c>
    </row>
    <row r="82" spans="1:15" ht="13.8">
      <c r="A82" s="474" t="str">
        <f>'Pensionstaxe Budget'!A11</f>
        <v>Besoldung Dritte</v>
      </c>
      <c r="B82" s="635"/>
      <c r="C82" s="638"/>
      <c r="D82" s="903">
        <v>6803</v>
      </c>
      <c r="E82" s="619"/>
      <c r="F82" s="916">
        <v>187000</v>
      </c>
      <c r="G82" s="792"/>
      <c r="H82" s="791">
        <f>'Pensionstaxe Budget'!H11</f>
        <v>187000</v>
      </c>
      <c r="I82" s="623"/>
      <c r="J82" s="475">
        <f t="shared" si="20"/>
        <v>26.487872997207113</v>
      </c>
      <c r="K82" s="475"/>
      <c r="L82" s="612">
        <f t="shared" si="21"/>
        <v>0</v>
      </c>
      <c r="M82" s="594"/>
      <c r="O82" s="877">
        <f t="shared" si="15"/>
        <v>187000</v>
      </c>
    </row>
    <row r="83" spans="1:15" ht="13.8">
      <c r="A83" s="474">
        <f>'Pensionstaxe Budget'!A12</f>
        <v>0</v>
      </c>
      <c r="B83" s="635"/>
      <c r="C83" s="638"/>
      <c r="D83" s="903">
        <v>163960.4</v>
      </c>
      <c r="E83" s="619"/>
      <c r="F83" s="916">
        <v>0</v>
      </c>
      <c r="G83" s="792"/>
      <c r="H83" s="791">
        <f>'Pensionstaxe Budget'!H12</f>
        <v>0</v>
      </c>
      <c r="I83" s="623"/>
      <c r="J83" s="475">
        <f t="shared" si="20"/>
        <v>-1</v>
      </c>
      <c r="K83" s="475"/>
      <c r="L83" s="612">
        <f t="shared" si="21"/>
        <v>0</v>
      </c>
      <c r="M83" s="594"/>
      <c r="O83" s="877">
        <f t="shared" si="15"/>
        <v>0</v>
      </c>
    </row>
    <row r="84" spans="1:15" ht="13.8">
      <c r="A84" s="474" t="str">
        <f>'Pensionstaxe Budget'!A13</f>
        <v>Besoldung Grundausbildung Pensionsbereich</v>
      </c>
      <c r="B84" s="635"/>
      <c r="C84" s="638"/>
      <c r="D84" s="903">
        <v>110000</v>
      </c>
      <c r="E84" s="619"/>
      <c r="F84" s="916">
        <v>267000</v>
      </c>
      <c r="G84" s="792"/>
      <c r="H84" s="791">
        <f>'Pensionstaxe Budget'!H13</f>
        <v>267000</v>
      </c>
      <c r="I84" s="623"/>
      <c r="J84" s="475">
        <f t="shared" si="20"/>
        <v>1.4272727272727272</v>
      </c>
      <c r="K84" s="475"/>
      <c r="L84" s="612">
        <f t="shared" si="21"/>
        <v>0</v>
      </c>
      <c r="M84" s="594"/>
      <c r="O84" s="877">
        <f t="shared" si="15"/>
        <v>267000</v>
      </c>
    </row>
    <row r="85" spans="1:15" ht="13.8">
      <c r="A85" s="474" t="s">
        <v>280</v>
      </c>
      <c r="B85" s="635"/>
      <c r="C85" s="638"/>
      <c r="D85" s="903">
        <v>788572.51413500006</v>
      </c>
      <c r="E85" s="624"/>
      <c r="F85" s="916">
        <v>757986</v>
      </c>
      <c r="G85" s="787"/>
      <c r="H85" s="791">
        <f>+(H78+H79+H80+H81+H82+H83+H84)*H67</f>
        <v>799710</v>
      </c>
      <c r="I85" s="624"/>
      <c r="J85" s="475">
        <f t="shared" si="20"/>
        <v>1.4123603936686546E-2</v>
      </c>
      <c r="K85" s="475"/>
      <c r="L85" s="612">
        <f t="shared" si="21"/>
        <v>5.504587155963292E-2</v>
      </c>
      <c r="M85" s="594"/>
      <c r="O85" s="877">
        <f t="shared" si="15"/>
        <v>799710</v>
      </c>
    </row>
    <row r="86" spans="1:15" ht="13.8">
      <c r="A86" s="474">
        <f>'Pensionstaxe Budget'!A25</f>
        <v>0</v>
      </c>
      <c r="B86" s="635"/>
      <c r="C86" s="638"/>
      <c r="D86" s="903">
        <v>0</v>
      </c>
      <c r="E86" s="619"/>
      <c r="F86" s="916">
        <v>0</v>
      </c>
      <c r="G86" s="792"/>
      <c r="H86" s="791">
        <f>'Pensionstaxe Budget'!H25</f>
        <v>0</v>
      </c>
      <c r="I86" s="623"/>
      <c r="J86" s="475">
        <f t="shared" si="20"/>
        <v>0</v>
      </c>
      <c r="K86" s="475"/>
      <c r="L86" s="612">
        <f t="shared" si="21"/>
        <v>0</v>
      </c>
      <c r="M86" s="594"/>
      <c r="O86" s="877">
        <f t="shared" si="15"/>
        <v>0</v>
      </c>
    </row>
    <row r="87" spans="1:15" ht="13.8">
      <c r="A87" s="474">
        <f>'Pensionstaxe Budget'!A26</f>
        <v>0</v>
      </c>
      <c r="B87" s="635"/>
      <c r="C87" s="638"/>
      <c r="D87" s="903">
        <v>0</v>
      </c>
      <c r="E87" s="619"/>
      <c r="F87" s="916">
        <v>0</v>
      </c>
      <c r="G87" s="792"/>
      <c r="H87" s="791">
        <f>'Pensionstaxe Budget'!H26</f>
        <v>0</v>
      </c>
      <c r="I87" s="623"/>
      <c r="J87" s="475">
        <f t="shared" si="20"/>
        <v>0</v>
      </c>
      <c r="K87" s="475"/>
      <c r="L87" s="612">
        <f t="shared" si="21"/>
        <v>0</v>
      </c>
      <c r="M87" s="594"/>
      <c r="O87" s="877">
        <f t="shared" si="15"/>
        <v>0</v>
      </c>
    </row>
    <row r="88" spans="1:15" ht="13.8">
      <c r="A88" s="676" t="s">
        <v>270</v>
      </c>
      <c r="B88" s="631"/>
      <c r="C88" s="637"/>
      <c r="D88" s="904">
        <v>159786.14000000001</v>
      </c>
      <c r="E88" s="566"/>
      <c r="F88" s="917">
        <v>32500</v>
      </c>
      <c r="G88" s="793"/>
      <c r="H88" s="794">
        <f>'Pensionstaxe Budget'!G27</f>
        <v>25000</v>
      </c>
      <c r="I88" s="623"/>
      <c r="J88" s="475">
        <f t="shared" si="20"/>
        <v>-0.84354087281913193</v>
      </c>
      <c r="K88" s="475"/>
      <c r="L88" s="612">
        <f t="shared" si="21"/>
        <v>-0.23076923076923073</v>
      </c>
      <c r="M88" s="594" t="s">
        <v>373</v>
      </c>
      <c r="O88" s="877">
        <f t="shared" si="15"/>
        <v>25000</v>
      </c>
    </row>
    <row r="89" spans="1:15" ht="14.4" thickBot="1">
      <c r="A89" s="752" t="s">
        <v>279</v>
      </c>
      <c r="B89" s="753"/>
      <c r="C89" s="754"/>
      <c r="D89" s="908" t="s">
        <v>364</v>
      </c>
      <c r="E89" s="756"/>
      <c r="F89" s="888" t="str">
        <f>F3</f>
        <v>Budget 2023</v>
      </c>
      <c r="G89" s="795"/>
      <c r="H89" s="788" t="str">
        <f>$H$3</f>
        <v>Budget 2024</v>
      </c>
      <c r="I89" s="756"/>
      <c r="J89" s="755" t="str">
        <f>J77</f>
        <v>Δ 2024 zu 2022</v>
      </c>
      <c r="K89" s="757"/>
      <c r="L89" s="758" t="str">
        <f>L77</f>
        <v>Δ 2024 zu B2023</v>
      </c>
      <c r="M89" s="759"/>
      <c r="O89" s="877" t="str">
        <f t="shared" si="15"/>
        <v>Budget 2024</v>
      </c>
    </row>
    <row r="90" spans="1:15" ht="13.8">
      <c r="A90" s="760" t="s">
        <v>4</v>
      </c>
      <c r="B90" s="761"/>
      <c r="C90" s="761"/>
      <c r="D90" s="905">
        <v>853018.87999999989</v>
      </c>
      <c r="E90" s="762"/>
      <c r="F90" s="918">
        <v>780000</v>
      </c>
      <c r="G90" s="796"/>
      <c r="H90" s="797">
        <f>'Pensionstaxe Budget'!H29</f>
        <v>780000</v>
      </c>
      <c r="I90" s="763"/>
      <c r="J90" s="764">
        <f t="shared" si="20"/>
        <v>-8.5600543800390283E-2</v>
      </c>
      <c r="K90" s="764"/>
      <c r="L90" s="764">
        <f t="shared" si="21"/>
        <v>0</v>
      </c>
      <c r="M90" s="765"/>
      <c r="O90" s="877">
        <f t="shared" si="15"/>
        <v>780000</v>
      </c>
    </row>
    <row r="91" spans="1:15" ht="13.8">
      <c r="A91" s="734" t="s">
        <v>5</v>
      </c>
      <c r="B91" s="735"/>
      <c r="C91" s="735"/>
      <c r="D91" s="906">
        <v>141566.19</v>
      </c>
      <c r="E91" s="736"/>
      <c r="F91" s="919">
        <v>145000</v>
      </c>
      <c r="G91" s="798"/>
      <c r="H91" s="799">
        <f>'Pensionstaxe Budget'!H30</f>
        <v>145000</v>
      </c>
      <c r="I91" s="737"/>
      <c r="J91" s="738">
        <f t="shared" si="20"/>
        <v>2.4255862222470004E-2</v>
      </c>
      <c r="K91" s="738"/>
      <c r="L91" s="738">
        <f t="shared" si="21"/>
        <v>0</v>
      </c>
      <c r="M91" s="739"/>
      <c r="O91" s="877">
        <f t="shared" si="15"/>
        <v>145000</v>
      </c>
    </row>
    <row r="92" spans="1:15" ht="13.8">
      <c r="A92" s="734" t="s">
        <v>6</v>
      </c>
      <c r="B92" s="735"/>
      <c r="C92" s="735"/>
      <c r="D92" s="906">
        <v>385069.07</v>
      </c>
      <c r="E92" s="736"/>
      <c r="F92" s="919">
        <v>241000</v>
      </c>
      <c r="G92" s="798"/>
      <c r="H92" s="799">
        <f>'Pensionstaxe Budget'!H31</f>
        <v>241000</v>
      </c>
      <c r="I92" s="737"/>
      <c r="J92" s="738">
        <f t="shared" si="20"/>
        <v>-0.37413825524859734</v>
      </c>
      <c r="K92" s="738"/>
      <c r="L92" s="738">
        <f t="shared" si="21"/>
        <v>0</v>
      </c>
      <c r="M92" s="739"/>
      <c r="O92" s="877">
        <f t="shared" si="15"/>
        <v>241000</v>
      </c>
    </row>
    <row r="93" spans="1:15" ht="13.8">
      <c r="A93" s="734" t="s">
        <v>286</v>
      </c>
      <c r="B93" s="735"/>
      <c r="C93" s="735"/>
      <c r="D93" s="906">
        <v>90044.42</v>
      </c>
      <c r="E93" s="736"/>
      <c r="F93" s="919">
        <v>59000</v>
      </c>
      <c r="G93" s="798"/>
      <c r="H93" s="799">
        <f>'Pensionstaxe Budget'!H32</f>
        <v>59000</v>
      </c>
      <c r="I93" s="737"/>
      <c r="J93" s="738">
        <f t="shared" si="20"/>
        <v>-0.34476783791821852</v>
      </c>
      <c r="K93" s="738"/>
      <c r="L93" s="738">
        <f t="shared" si="21"/>
        <v>0</v>
      </c>
      <c r="M93" s="739"/>
      <c r="O93" s="877">
        <f t="shared" si="15"/>
        <v>59000</v>
      </c>
    </row>
    <row r="94" spans="1:15" ht="13.8">
      <c r="A94" s="734" t="s">
        <v>266</v>
      </c>
      <c r="B94" s="735"/>
      <c r="C94" s="735"/>
      <c r="D94" s="906">
        <v>1730470.8333333333</v>
      </c>
      <c r="E94" s="736"/>
      <c r="F94" s="919">
        <v>1730470.8333333333</v>
      </c>
      <c r="G94" s="798"/>
      <c r="H94" s="799">
        <f>('Pensionstaxe Budget'!H33+'Pensionstaxe Budget'!H34+'Pensionstaxe Budget'!H36)</f>
        <v>1765908.3333333333</v>
      </c>
      <c r="I94" s="737"/>
      <c r="J94" s="738">
        <f t="shared" si="20"/>
        <v>2.0478530650376969E-2</v>
      </c>
      <c r="K94" s="738"/>
      <c r="L94" s="738">
        <f t="shared" si="21"/>
        <v>2.0478530650376969E-2</v>
      </c>
      <c r="M94" s="739"/>
      <c r="O94" s="877">
        <f t="shared" si="15"/>
        <v>1765908.3333333333</v>
      </c>
    </row>
    <row r="95" spans="1:15" ht="13.8">
      <c r="A95" s="740" t="s">
        <v>250</v>
      </c>
      <c r="B95" s="741"/>
      <c r="C95" s="741"/>
      <c r="D95" s="906">
        <v>0</v>
      </c>
      <c r="E95" s="736"/>
      <c r="F95" s="919">
        <v>0</v>
      </c>
      <c r="G95" s="798"/>
      <c r="H95" s="799">
        <f>'Pensionstaxe Budget'!H35</f>
        <v>0</v>
      </c>
      <c r="I95" s="737"/>
      <c r="J95" s="738">
        <f t="shared" si="20"/>
        <v>0</v>
      </c>
      <c r="K95" s="738"/>
      <c r="L95" s="738">
        <f t="shared" si="21"/>
        <v>0</v>
      </c>
      <c r="M95" s="739"/>
      <c r="O95" s="877">
        <f t="shared" si="15"/>
        <v>0</v>
      </c>
    </row>
    <row r="96" spans="1:15" ht="13.8">
      <c r="A96" s="734" t="s">
        <v>7</v>
      </c>
      <c r="B96" s="735"/>
      <c r="C96" s="735"/>
      <c r="D96" s="906">
        <v>295600.8</v>
      </c>
      <c r="E96" s="736"/>
      <c r="F96" s="919">
        <v>224000</v>
      </c>
      <c r="G96" s="798"/>
      <c r="H96" s="799">
        <f>'Pensionstaxe Budget'!H39</f>
        <v>224000</v>
      </c>
      <c r="I96" s="737"/>
      <c r="J96" s="738">
        <f t="shared" si="20"/>
        <v>-0.24222126597762927</v>
      </c>
      <c r="K96" s="738"/>
      <c r="L96" s="738">
        <f t="shared" si="21"/>
        <v>0</v>
      </c>
      <c r="M96" s="739"/>
      <c r="O96" s="877">
        <f t="shared" si="15"/>
        <v>224000</v>
      </c>
    </row>
    <row r="97" spans="1:18" ht="13.8">
      <c r="A97" s="734" t="s">
        <v>298</v>
      </c>
      <c r="B97" s="735"/>
      <c r="C97" s="735"/>
      <c r="D97" s="906">
        <v>528865.33000000007</v>
      </c>
      <c r="E97" s="736"/>
      <c r="F97" s="919">
        <v>387000</v>
      </c>
      <c r="G97" s="798"/>
      <c r="H97" s="799">
        <f>('Pensionstaxe Budget'!H38+'Pensionstaxe Budget'!H40)</f>
        <v>387000</v>
      </c>
      <c r="I97" s="737"/>
      <c r="J97" s="738">
        <f t="shared" si="20"/>
        <v>-0.26824471553088958</v>
      </c>
      <c r="K97" s="738"/>
      <c r="L97" s="738">
        <f t="shared" si="21"/>
        <v>0</v>
      </c>
      <c r="M97" s="739"/>
      <c r="O97" s="877">
        <f t="shared" si="15"/>
        <v>387000</v>
      </c>
    </row>
    <row r="98" spans="1:18" ht="13.8">
      <c r="A98" s="734" t="s">
        <v>268</v>
      </c>
      <c r="B98" s="735"/>
      <c r="C98" s="735"/>
      <c r="D98" s="906">
        <v>1296891.17</v>
      </c>
      <c r="E98" s="736"/>
      <c r="F98" s="919">
        <v>1068000</v>
      </c>
      <c r="G98" s="798"/>
      <c r="H98" s="799">
        <f>'Pensionstaxe Budget'!H49</f>
        <v>1068000</v>
      </c>
      <c r="I98" s="737"/>
      <c r="J98" s="738">
        <f t="shared" si="20"/>
        <v>-0.17649219556333318</v>
      </c>
      <c r="K98" s="738"/>
      <c r="L98" s="738">
        <f t="shared" si="21"/>
        <v>0</v>
      </c>
      <c r="M98" s="739"/>
      <c r="O98" s="877">
        <f t="shared" ref="O98" si="22">H98</f>
        <v>1068000</v>
      </c>
    </row>
    <row r="99" spans="1:18" ht="13.8">
      <c r="A99" s="740" t="s">
        <v>311</v>
      </c>
      <c r="B99" s="741"/>
      <c r="C99" s="741"/>
      <c r="D99" s="789">
        <f>SUM(D78:D97)-D98</f>
        <v>7002009.8574683331</v>
      </c>
      <c r="E99" s="742"/>
      <c r="F99" s="789">
        <f>SUM(F78:F97)-F98</f>
        <v>6765956.833333333</v>
      </c>
      <c r="G99" s="789"/>
      <c r="H99" s="789">
        <f>SUM(H78:H97)-H98</f>
        <v>6835618.333333333</v>
      </c>
      <c r="I99" s="742"/>
      <c r="J99" s="738">
        <f t="shared" si="20"/>
        <v>-2.3763394728376075E-2</v>
      </c>
      <c r="K99" s="738"/>
      <c r="L99" s="738">
        <f t="shared" si="21"/>
        <v>1.02958830090083E-2</v>
      </c>
      <c r="M99" s="739"/>
      <c r="O99" s="290"/>
    </row>
    <row r="100" spans="1:18" ht="13.8">
      <c r="A100" s="734"/>
      <c r="B100" s="741"/>
      <c r="C100" s="741"/>
      <c r="D100" s="789"/>
      <c r="E100" s="742"/>
      <c r="F100" s="789"/>
      <c r="G100" s="789"/>
      <c r="H100" s="789"/>
      <c r="I100" s="742"/>
      <c r="J100" s="738">
        <f t="shared" si="20"/>
        <v>0</v>
      </c>
      <c r="K100" s="738"/>
      <c r="L100" s="738">
        <f t="shared" si="21"/>
        <v>0</v>
      </c>
      <c r="M100" s="739"/>
      <c r="O100" s="290"/>
    </row>
    <row r="101" spans="1:18" ht="13.8">
      <c r="A101" s="734" t="s">
        <v>312</v>
      </c>
      <c r="B101" s="741"/>
      <c r="C101" s="741"/>
      <c r="D101" s="789">
        <f>D71*5%</f>
        <v>190929.78880866</v>
      </c>
      <c r="E101" s="742"/>
      <c r="F101" s="789">
        <f>F71*5%</f>
        <v>193548.72600000002</v>
      </c>
      <c r="G101" s="789"/>
      <c r="H101" s="789">
        <f>H71*5%</f>
        <v>217307.79</v>
      </c>
      <c r="I101" s="742"/>
      <c r="J101" s="738">
        <f t="shared" si="20"/>
        <v>0.13815550394692311</v>
      </c>
      <c r="K101" s="738"/>
      <c r="L101" s="738">
        <f t="shared" si="21"/>
        <v>0.12275494905608419</v>
      </c>
      <c r="M101" s="739"/>
      <c r="O101" s="290"/>
    </row>
    <row r="102" spans="1:18" ht="13.8">
      <c r="A102" s="734" t="s">
        <v>313</v>
      </c>
      <c r="B102" s="741"/>
      <c r="C102" s="741"/>
      <c r="D102" s="789">
        <f>D21/365*200</f>
        <v>22489.863013698628</v>
      </c>
      <c r="E102" s="742"/>
      <c r="F102" s="789">
        <f>F21/365*200</f>
        <v>22400</v>
      </c>
      <c r="G102" s="789"/>
      <c r="H102" s="789">
        <f>H21/365*200</f>
        <v>23200</v>
      </c>
      <c r="I102" s="742"/>
      <c r="J102" s="738">
        <f t="shared" si="20"/>
        <v>3.1575869798265321E-2</v>
      </c>
      <c r="K102" s="738"/>
      <c r="L102" s="738">
        <f t="shared" si="21"/>
        <v>3.5714285714285809E-2</v>
      </c>
      <c r="M102" s="739"/>
      <c r="O102" s="290"/>
    </row>
    <row r="103" spans="1:18" ht="13.8">
      <c r="A103" s="734" t="s">
        <v>314</v>
      </c>
      <c r="B103" s="741"/>
      <c r="C103" s="741"/>
      <c r="D103" s="789">
        <f>D21/365*500</f>
        <v>56224.657534246573</v>
      </c>
      <c r="E103" s="742"/>
      <c r="F103" s="789">
        <f>F21/365*500</f>
        <v>56000</v>
      </c>
      <c r="G103" s="789"/>
      <c r="H103" s="789">
        <f>H21/365*500</f>
        <v>58000</v>
      </c>
      <c r="I103" s="742"/>
      <c r="J103" s="738">
        <f t="shared" si="20"/>
        <v>3.1575869798265321E-2</v>
      </c>
      <c r="K103" s="738"/>
      <c r="L103" s="738">
        <f t="shared" si="21"/>
        <v>3.5714285714285809E-2</v>
      </c>
      <c r="M103" s="739"/>
      <c r="O103" s="290"/>
    </row>
    <row r="104" spans="1:18" ht="13.8">
      <c r="A104" s="734" t="s">
        <v>315</v>
      </c>
      <c r="B104" s="741"/>
      <c r="C104" s="741"/>
      <c r="D104" s="789">
        <f>D51*1000</f>
        <v>51599.999999999993</v>
      </c>
      <c r="E104" s="742"/>
      <c r="F104" s="789">
        <f>F51*1000</f>
        <v>50000</v>
      </c>
      <c r="G104" s="789"/>
      <c r="H104" s="789">
        <f>H51*1000</f>
        <v>62400.000000000007</v>
      </c>
      <c r="I104" s="742"/>
      <c r="J104" s="738">
        <f t="shared" si="20"/>
        <v>0.20930232558139572</v>
      </c>
      <c r="K104" s="738"/>
      <c r="L104" s="738">
        <f t="shared" si="21"/>
        <v>0.24800000000000022</v>
      </c>
      <c r="M104" s="739"/>
      <c r="O104" s="290"/>
    </row>
    <row r="105" spans="1:18" ht="13.8">
      <c r="A105" s="734" t="s">
        <v>316</v>
      </c>
      <c r="B105" s="741"/>
      <c r="C105" s="741"/>
      <c r="D105" s="789">
        <f>D21/365*1200</f>
        <v>134939.17808219179</v>
      </c>
      <c r="E105" s="742"/>
      <c r="F105" s="789">
        <f>F21/365*1200</f>
        <v>134400</v>
      </c>
      <c r="G105" s="789"/>
      <c r="H105" s="789">
        <f>'Pflegetaxe Budget'!I62</f>
        <v>139200</v>
      </c>
      <c r="I105" s="742"/>
      <c r="J105" s="738">
        <f t="shared" si="20"/>
        <v>3.1575869798265099E-2</v>
      </c>
      <c r="K105" s="738"/>
      <c r="L105" s="738">
        <f t="shared" si="21"/>
        <v>3.5714285714285809E-2</v>
      </c>
      <c r="M105" s="739"/>
      <c r="O105" s="290"/>
    </row>
    <row r="106" spans="1:18" ht="13.8">
      <c r="A106" s="474" t="s">
        <v>320</v>
      </c>
      <c r="B106" s="875" t="s">
        <v>341</v>
      </c>
      <c r="C106" s="741"/>
      <c r="D106" s="789">
        <f>D21/365*250</f>
        <v>28112.328767123287</v>
      </c>
      <c r="E106" s="742"/>
      <c r="F106" s="789">
        <f>F21/365*250</f>
        <v>28000</v>
      </c>
      <c r="G106" s="789"/>
      <c r="H106" s="789">
        <f>'Pflegetaxe Budget'!I63</f>
        <v>23200</v>
      </c>
      <c r="I106" s="742"/>
      <c r="J106" s="738">
        <f t="shared" si="20"/>
        <v>-0.17473930416138772</v>
      </c>
      <c r="K106" s="738"/>
      <c r="L106" s="738">
        <f t="shared" si="21"/>
        <v>-0.17142857142857137</v>
      </c>
      <c r="M106" s="739"/>
      <c r="O106" s="290"/>
    </row>
    <row r="107" spans="1:18" ht="13.8">
      <c r="A107" s="734" t="s">
        <v>317</v>
      </c>
      <c r="B107" s="741"/>
      <c r="C107" s="741"/>
      <c r="D107" s="789">
        <f>D99-D101-D102-D103-D104-D105</f>
        <v>6545826.370029537</v>
      </c>
      <c r="E107" s="742"/>
      <c r="F107" s="789">
        <f>F99-F101-F102-F103-F104-F105</f>
        <v>6309608.1073333332</v>
      </c>
      <c r="G107" s="789"/>
      <c r="H107" s="789">
        <f>H99-H101-H102-H103-H104-H105</f>
        <v>6335510.543333333</v>
      </c>
      <c r="I107" s="742"/>
      <c r="J107" s="738">
        <f t="shared" si="20"/>
        <v>-3.2129759453924378E-2</v>
      </c>
      <c r="K107" s="738"/>
      <c r="L107" s="738">
        <f t="shared" si="21"/>
        <v>4.1052368957581464E-3</v>
      </c>
      <c r="M107" s="739"/>
      <c r="O107" s="290"/>
    </row>
    <row r="108" spans="1:18">
      <c r="A108" s="734" t="s">
        <v>318</v>
      </c>
      <c r="B108" s="743"/>
      <c r="C108" s="743"/>
      <c r="D108" s="867">
        <f>IFERROR(D107/D19,0)</f>
        <v>149.09407730570192</v>
      </c>
      <c r="E108" s="867"/>
      <c r="F108" s="867">
        <f>IFERROR(F107/F19,0)</f>
        <v>144.05497961948248</v>
      </c>
      <c r="G108" s="868"/>
      <c r="H108" s="867">
        <f>IFERROR(H107/H19,0)</f>
        <v>145.74443393911508</v>
      </c>
      <c r="I108" s="744"/>
      <c r="J108" s="738">
        <f t="shared" si="20"/>
        <v>-2.2466642720614161E-2</v>
      </c>
      <c r="K108" s="741"/>
      <c r="L108" s="738">
        <f t="shared" si="21"/>
        <v>1.1727843939135285E-2</v>
      </c>
      <c r="M108" s="766"/>
      <c r="O108" s="290"/>
    </row>
    <row r="109" spans="1:18" ht="25.2" thickBot="1">
      <c r="A109" s="745" t="s">
        <v>287</v>
      </c>
      <c r="B109" s="746"/>
      <c r="C109" s="746"/>
      <c r="D109" s="747"/>
      <c r="E109" s="747"/>
      <c r="F109" s="748"/>
      <c r="G109" s="748"/>
      <c r="H109" s="749">
        <f>H1</f>
        <v>0</v>
      </c>
      <c r="I109" s="749"/>
      <c r="J109" s="750"/>
      <c r="K109" s="750"/>
      <c r="L109" s="746"/>
      <c r="M109" s="751"/>
      <c r="O109" s="290"/>
    </row>
    <row r="110" spans="1:18" s="478" customFormat="1" ht="13.8">
      <c r="A110" s="651" t="s">
        <v>297</v>
      </c>
      <c r="D110" s="709"/>
      <c r="E110" s="709"/>
      <c r="F110" s="477"/>
      <c r="G110" s="477"/>
      <c r="H110" s="477"/>
      <c r="I110" s="477"/>
      <c r="M110" s="650"/>
      <c r="N110" s="712"/>
      <c r="O110" s="290"/>
      <c r="P110" s="712"/>
      <c r="Q110" s="712"/>
      <c r="R110" s="712"/>
    </row>
    <row r="111" spans="1:18" s="478" customFormat="1" ht="13.8">
      <c r="A111" s="671" t="s">
        <v>288</v>
      </c>
      <c r="B111" s="662" t="s">
        <v>331</v>
      </c>
      <c r="C111" s="661"/>
      <c r="D111" s="710" t="str">
        <f>D3</f>
        <v>Rechnung 2022</v>
      </c>
      <c r="E111" s="710"/>
      <c r="F111" s="710" t="str">
        <f>F3</f>
        <v>Budget 2023</v>
      </c>
      <c r="G111" s="710"/>
      <c r="H111" s="710" t="str">
        <f>H3</f>
        <v>Budget 2024</v>
      </c>
      <c r="I111" s="710"/>
      <c r="J111" s="710" t="str">
        <f>J3</f>
        <v>Δ 2024 zu 2022</v>
      </c>
      <c r="K111" s="710"/>
      <c r="L111" s="710" t="str">
        <f>L3</f>
        <v>Δ 2024 zu B2023</v>
      </c>
      <c r="M111" s="663" t="str">
        <f>M3</f>
        <v>Bemerkungen</v>
      </c>
      <c r="N111" s="712"/>
      <c r="O111" s="290"/>
      <c r="P111" s="712"/>
      <c r="Q111" s="712"/>
      <c r="R111" s="712"/>
    </row>
    <row r="112" spans="1:18" s="478" customFormat="1" ht="13.8">
      <c r="A112" s="664" t="s">
        <v>296</v>
      </c>
      <c r="B112" s="665">
        <v>1.36</v>
      </c>
      <c r="C112" s="661"/>
      <c r="D112" s="710"/>
      <c r="E112" s="710"/>
      <c r="F112" s="666"/>
      <c r="G112" s="666"/>
      <c r="H112" s="666"/>
      <c r="I112" s="666"/>
      <c r="J112" s="661"/>
      <c r="K112" s="661"/>
      <c r="L112" s="661"/>
      <c r="M112" s="667"/>
      <c r="N112" s="712"/>
      <c r="O112" s="290"/>
      <c r="P112" s="712"/>
      <c r="Q112" s="712"/>
      <c r="R112" s="712"/>
    </row>
    <row r="113" spans="1:18" s="478" customFormat="1" ht="13.8">
      <c r="A113" s="664" t="s">
        <v>291</v>
      </c>
      <c r="B113" s="665">
        <v>1.37</v>
      </c>
      <c r="C113" s="661"/>
      <c r="D113" s="711">
        <f>D37</f>
        <v>1.3810178648766984</v>
      </c>
      <c r="E113" s="710"/>
      <c r="F113" s="711">
        <f>F37</f>
        <v>1.3622940906836085</v>
      </c>
      <c r="G113" s="710"/>
      <c r="H113" s="711">
        <f>H37</f>
        <v>1.3744176965317787</v>
      </c>
      <c r="I113" s="710"/>
      <c r="J113" s="668">
        <f>IFERROR(H113/D113-100%,0)</f>
        <v>-4.7792056227375923E-3</v>
      </c>
      <c r="K113" s="668"/>
      <c r="L113" s="668">
        <f>IFERROR(H113/F113-100%,"")</f>
        <v>8.8994042703998133E-3</v>
      </c>
      <c r="M113" s="663"/>
      <c r="N113" s="712"/>
      <c r="O113" s="290"/>
      <c r="P113" s="712"/>
      <c r="Q113" s="712"/>
      <c r="R113" s="712"/>
    </row>
    <row r="114" spans="1:18" s="478" customFormat="1" ht="13.8">
      <c r="A114" s="664" t="s">
        <v>292</v>
      </c>
      <c r="B114" s="665">
        <v>1.39</v>
      </c>
      <c r="C114" s="661"/>
      <c r="D114" s="710"/>
      <c r="E114" s="710"/>
      <c r="F114" s="666"/>
      <c r="G114" s="666"/>
      <c r="H114" s="666"/>
      <c r="I114" s="666"/>
      <c r="J114" s="661"/>
      <c r="K114" s="661"/>
      <c r="L114" s="661"/>
      <c r="M114" s="667"/>
      <c r="N114" s="712"/>
      <c r="O114" s="290"/>
      <c r="P114" s="712"/>
      <c r="Q114" s="712"/>
      <c r="R114" s="712"/>
    </row>
    <row r="115" spans="1:18" s="478" customFormat="1" ht="13.8">
      <c r="B115" s="652"/>
      <c r="D115" s="709"/>
      <c r="E115" s="709"/>
      <c r="F115" s="477"/>
      <c r="G115" s="477"/>
      <c r="H115" s="477"/>
      <c r="I115" s="477"/>
      <c r="M115" s="650"/>
      <c r="N115" s="712"/>
      <c r="O115" s="290"/>
      <c r="P115" s="712"/>
      <c r="Q115" s="712"/>
      <c r="R115" s="712"/>
    </row>
    <row r="116" spans="1:18" s="478" customFormat="1" ht="13.8">
      <c r="B116" s="652"/>
      <c r="D116" s="709"/>
      <c r="E116" s="709"/>
      <c r="F116" s="477"/>
      <c r="G116" s="477"/>
      <c r="H116" s="477"/>
      <c r="I116" s="477"/>
      <c r="M116" s="650"/>
      <c r="N116" s="712"/>
      <c r="O116" s="290"/>
      <c r="P116" s="712"/>
      <c r="Q116" s="712"/>
      <c r="R116" s="712"/>
    </row>
    <row r="117" spans="1:18" s="478" customFormat="1" ht="13.8">
      <c r="A117" s="671" t="s">
        <v>289</v>
      </c>
      <c r="B117" s="669" t="str">
        <f>B111</f>
        <v>Kanton 2023</v>
      </c>
      <c r="C117" s="661">
        <f>C111</f>
        <v>0</v>
      </c>
      <c r="D117" s="662" t="str">
        <f>D111</f>
        <v>Rechnung 2022</v>
      </c>
      <c r="E117" s="710"/>
      <c r="F117" s="662" t="str">
        <f>F111</f>
        <v>Budget 2023</v>
      </c>
      <c r="G117" s="666"/>
      <c r="H117" s="662" t="str">
        <f t="shared" ref="H117:M117" si="23">H111</f>
        <v>Budget 2024</v>
      </c>
      <c r="I117" s="662">
        <f t="shared" si="23"/>
        <v>0</v>
      </c>
      <c r="J117" s="662" t="str">
        <f t="shared" si="23"/>
        <v>Δ 2024 zu 2022</v>
      </c>
      <c r="K117" s="662">
        <f t="shared" si="23"/>
        <v>0</v>
      </c>
      <c r="L117" s="662" t="str">
        <f t="shared" si="23"/>
        <v>Δ 2024 zu B2023</v>
      </c>
      <c r="M117" s="713" t="str">
        <f t="shared" si="23"/>
        <v>Bemerkungen</v>
      </c>
      <c r="N117" s="712"/>
      <c r="O117" s="290"/>
      <c r="P117" s="712"/>
      <c r="Q117" s="712"/>
      <c r="R117" s="712"/>
    </row>
    <row r="118" spans="1:18" s="478" customFormat="1" ht="13.8">
      <c r="A118" s="661"/>
      <c r="B118" s="665"/>
      <c r="C118" s="661"/>
      <c r="D118" s="710"/>
      <c r="E118" s="710"/>
      <c r="F118" s="666"/>
      <c r="G118" s="666"/>
      <c r="H118" s="666"/>
      <c r="I118" s="666"/>
      <c r="J118" s="661"/>
      <c r="K118" s="661"/>
      <c r="L118" s="661"/>
      <c r="M118" s="667"/>
      <c r="N118" s="712"/>
      <c r="O118" s="290"/>
      <c r="P118" s="712"/>
      <c r="Q118" s="712"/>
      <c r="R118" s="712"/>
    </row>
    <row r="119" spans="1:18" s="478" customFormat="1" ht="13.8">
      <c r="A119" s="661" t="s">
        <v>305</v>
      </c>
      <c r="B119" s="665">
        <v>26.55</v>
      </c>
      <c r="C119" s="661"/>
      <c r="D119" s="710"/>
      <c r="E119" s="710"/>
      <c r="F119" s="666"/>
      <c r="G119" s="666"/>
      <c r="H119" s="666"/>
      <c r="I119" s="666"/>
      <c r="J119" s="661"/>
      <c r="K119" s="661"/>
      <c r="L119" s="661"/>
      <c r="M119" s="667"/>
      <c r="N119" s="712"/>
      <c r="O119" s="290"/>
      <c r="P119" s="712"/>
      <c r="Q119" s="712"/>
      <c r="R119" s="712"/>
    </row>
    <row r="120" spans="1:18" s="478" customFormat="1" ht="13.8">
      <c r="A120" s="664" t="s">
        <v>291</v>
      </c>
      <c r="B120" s="665">
        <v>28.66</v>
      </c>
      <c r="C120" s="661"/>
      <c r="D120" s="711">
        <f>+D38</f>
        <v>32.956588791101638</v>
      </c>
      <c r="E120" s="710"/>
      <c r="F120" s="711">
        <f>+F38</f>
        <v>33.28181144238517</v>
      </c>
      <c r="G120" s="710"/>
      <c r="H120" s="711">
        <f>H38</f>
        <v>37.8264267471558</v>
      </c>
      <c r="I120" s="666"/>
      <c r="J120" s="668">
        <f>IFERROR(H120/D120-100%,0)</f>
        <v>0.14776523101107575</v>
      </c>
      <c r="K120" s="668"/>
      <c r="L120" s="668">
        <f>IFERROR(H120/F120-100%,"")</f>
        <v>0.13654951782410962</v>
      </c>
      <c r="M120" s="667"/>
      <c r="N120" s="712"/>
      <c r="O120" s="290"/>
      <c r="P120" s="712"/>
      <c r="Q120" s="712"/>
      <c r="R120" s="712"/>
    </row>
    <row r="121" spans="1:18" s="478" customFormat="1" ht="13.8">
      <c r="A121" s="664" t="s">
        <v>292</v>
      </c>
      <c r="B121" s="665">
        <v>32.31</v>
      </c>
      <c r="C121" s="661"/>
      <c r="D121" s="710"/>
      <c r="E121" s="710"/>
      <c r="F121" s="666"/>
      <c r="G121" s="666"/>
      <c r="H121" s="666"/>
      <c r="I121" s="666"/>
      <c r="J121" s="661"/>
      <c r="K121" s="661"/>
      <c r="L121" s="661"/>
      <c r="M121" s="667"/>
      <c r="N121" s="712"/>
      <c r="O121" s="290"/>
      <c r="P121" s="712"/>
      <c r="Q121" s="712"/>
      <c r="R121" s="712"/>
    </row>
    <row r="122" spans="1:18" s="478" customFormat="1" ht="13.8">
      <c r="B122" s="652"/>
      <c r="D122" s="709"/>
      <c r="E122" s="709"/>
      <c r="F122" s="477"/>
      <c r="G122" s="477"/>
      <c r="H122" s="477"/>
      <c r="I122" s="477"/>
      <c r="M122" s="650"/>
      <c r="N122" s="712"/>
      <c r="O122" s="290"/>
      <c r="P122" s="712"/>
      <c r="Q122" s="712"/>
      <c r="R122" s="712"/>
    </row>
    <row r="123" spans="1:18" s="478" customFormat="1" ht="13.8">
      <c r="B123" s="652"/>
      <c r="D123" s="709"/>
      <c r="E123" s="709"/>
      <c r="F123" s="477"/>
      <c r="G123" s="477"/>
      <c r="H123" s="477"/>
      <c r="I123" s="477"/>
      <c r="M123" s="650"/>
      <c r="N123" s="712"/>
      <c r="O123" s="290"/>
      <c r="P123" s="712"/>
      <c r="Q123" s="712"/>
      <c r="R123" s="712"/>
    </row>
    <row r="124" spans="1:18" s="478" customFormat="1" ht="13.8">
      <c r="A124" s="671" t="s">
        <v>290</v>
      </c>
      <c r="B124" s="669" t="str">
        <f t="shared" ref="B124:M124" si="24">B111</f>
        <v>Kanton 2023</v>
      </c>
      <c r="C124" s="662">
        <f t="shared" si="24"/>
        <v>0</v>
      </c>
      <c r="D124" s="662" t="str">
        <f t="shared" si="24"/>
        <v>Rechnung 2022</v>
      </c>
      <c r="E124" s="662">
        <f t="shared" si="24"/>
        <v>0</v>
      </c>
      <c r="F124" s="662" t="str">
        <f t="shared" si="24"/>
        <v>Budget 2023</v>
      </c>
      <c r="G124" s="662">
        <f t="shared" si="24"/>
        <v>0</v>
      </c>
      <c r="H124" s="662" t="str">
        <f t="shared" si="24"/>
        <v>Budget 2024</v>
      </c>
      <c r="I124" s="662">
        <f t="shared" si="24"/>
        <v>0</v>
      </c>
      <c r="J124" s="662" t="str">
        <f t="shared" si="24"/>
        <v>Δ 2024 zu 2022</v>
      </c>
      <c r="K124" s="662">
        <f t="shared" si="24"/>
        <v>0</v>
      </c>
      <c r="L124" s="662" t="str">
        <f t="shared" si="24"/>
        <v>Δ 2024 zu B2023</v>
      </c>
      <c r="M124" s="713" t="str">
        <f t="shared" si="24"/>
        <v>Bemerkungen</v>
      </c>
      <c r="N124" s="712"/>
      <c r="O124" s="290"/>
      <c r="P124" s="712"/>
      <c r="Q124" s="712"/>
      <c r="R124" s="712"/>
    </row>
    <row r="125" spans="1:18" s="478" customFormat="1" ht="13.8">
      <c r="A125" s="661"/>
      <c r="B125" s="665"/>
      <c r="C125" s="661"/>
      <c r="D125" s="710"/>
      <c r="E125" s="710"/>
      <c r="F125" s="666"/>
      <c r="G125" s="666"/>
      <c r="H125" s="666"/>
      <c r="I125" s="666"/>
      <c r="J125" s="661"/>
      <c r="K125" s="661"/>
      <c r="L125" s="661"/>
      <c r="M125" s="667"/>
      <c r="N125" s="712"/>
      <c r="O125" s="290"/>
      <c r="P125" s="712"/>
      <c r="Q125" s="712"/>
      <c r="R125" s="712"/>
    </row>
    <row r="126" spans="1:18" s="478" customFormat="1" ht="13.8">
      <c r="A126" s="670" t="s">
        <v>304</v>
      </c>
      <c r="B126" s="665"/>
      <c r="C126" s="661"/>
      <c r="D126" s="661"/>
      <c r="E126" s="710"/>
      <c r="F126" s="666"/>
      <c r="G126" s="666"/>
      <c r="H126" s="666"/>
      <c r="I126" s="666"/>
      <c r="J126" s="661"/>
      <c r="K126" s="661"/>
      <c r="L126" s="661"/>
      <c r="M126" s="667"/>
      <c r="N126" s="712"/>
      <c r="O126" s="290"/>
      <c r="P126" s="712"/>
      <c r="Q126" s="712"/>
      <c r="R126" s="712"/>
    </row>
    <row r="127" spans="1:18" s="478" customFormat="1" ht="13.8">
      <c r="A127" s="664" t="s">
        <v>291</v>
      </c>
      <c r="B127" s="665"/>
      <c r="C127" s="661"/>
      <c r="D127" s="711">
        <f>IFERROR(D94/D19,0)</f>
        <v>39.414878674684161</v>
      </c>
      <c r="E127" s="710"/>
      <c r="F127" s="711">
        <f>IFERROR(+F94/F19,0)</f>
        <v>39.508466514459663</v>
      </c>
      <c r="G127" s="666"/>
      <c r="H127" s="711">
        <f>IFERROR(+H94/H19,"")</f>
        <v>40.62361015259566</v>
      </c>
      <c r="I127" s="666"/>
      <c r="J127" s="668">
        <f>IFERROR(H127/D127-100%,0)</f>
        <v>3.0666883130300082E-2</v>
      </c>
      <c r="K127" s="668"/>
      <c r="L127" s="668">
        <f>IFERROR(H127/F127-100%,"")</f>
        <v>2.8225434609765676E-2</v>
      </c>
      <c r="M127" s="667"/>
      <c r="N127" s="712"/>
      <c r="O127" s="290"/>
      <c r="P127" s="712"/>
      <c r="Q127" s="712"/>
      <c r="R127" s="712"/>
    </row>
    <row r="128" spans="1:18" s="478" customFormat="1" ht="13.8">
      <c r="A128" s="664" t="s">
        <v>292</v>
      </c>
      <c r="B128" s="665"/>
      <c r="C128" s="661"/>
      <c r="D128" s="710"/>
      <c r="E128" s="710"/>
      <c r="F128" s="710"/>
      <c r="G128" s="666"/>
      <c r="H128" s="710"/>
      <c r="I128" s="666"/>
      <c r="J128" s="661"/>
      <c r="K128" s="661"/>
      <c r="L128" s="661"/>
      <c r="M128" s="667"/>
      <c r="N128" s="712"/>
      <c r="O128" s="290"/>
      <c r="P128" s="712"/>
      <c r="Q128" s="712"/>
      <c r="R128" s="712"/>
    </row>
    <row r="129" spans="1:18" s="478" customFormat="1" ht="13.8">
      <c r="A129" s="661"/>
      <c r="B129" s="665"/>
      <c r="C129" s="661"/>
      <c r="D129" s="710"/>
      <c r="E129" s="710"/>
      <c r="F129" s="710"/>
      <c r="G129" s="666"/>
      <c r="H129" s="710"/>
      <c r="I129" s="666"/>
      <c r="J129" s="661"/>
      <c r="K129" s="661"/>
      <c r="L129" s="661"/>
      <c r="M129" s="667"/>
      <c r="N129" s="712"/>
      <c r="O129" s="290"/>
      <c r="P129" s="712"/>
      <c r="Q129" s="712"/>
      <c r="R129" s="712"/>
    </row>
    <row r="130" spans="1:18" s="478" customFormat="1" ht="13.8">
      <c r="A130" s="670" t="s">
        <v>294</v>
      </c>
      <c r="B130" s="665">
        <v>151.87</v>
      </c>
      <c r="C130" s="661"/>
      <c r="D130" s="710"/>
      <c r="E130" s="710"/>
      <c r="F130" s="710"/>
      <c r="G130" s="666"/>
      <c r="H130" s="710"/>
      <c r="I130" s="666"/>
      <c r="J130" s="661"/>
      <c r="K130" s="661"/>
      <c r="L130" s="661"/>
      <c r="M130" s="667"/>
      <c r="N130" s="712"/>
      <c r="O130" s="290"/>
      <c r="P130" s="712"/>
      <c r="Q130" s="712"/>
      <c r="R130" s="712"/>
    </row>
    <row r="131" spans="1:18" s="478" customFormat="1" ht="13.8">
      <c r="A131" s="664" t="s">
        <v>291</v>
      </c>
      <c r="B131" s="665">
        <v>160.16</v>
      </c>
      <c r="C131" s="661"/>
      <c r="D131" s="711">
        <f>IFERROR(+D108,)</f>
        <v>149.09407730570192</v>
      </c>
      <c r="E131" s="710"/>
      <c r="F131" s="711">
        <f>IFERROR(+F108,)</f>
        <v>144.05497961948248</v>
      </c>
      <c r="G131" s="666"/>
      <c r="H131" s="711">
        <f>IFERROR(+H108,"")</f>
        <v>145.74443393911508</v>
      </c>
      <c r="I131" s="666"/>
      <c r="J131" s="668">
        <f>IFERROR(H131/D131-100%,0)</f>
        <v>-2.2466642720614161E-2</v>
      </c>
      <c r="K131" s="668"/>
      <c r="L131" s="668">
        <f>IFERROR(H131/F131-100%,"")</f>
        <v>1.1727843939135285E-2</v>
      </c>
      <c r="M131" s="667"/>
      <c r="N131" s="712"/>
      <c r="O131" s="290"/>
      <c r="P131" s="712"/>
      <c r="Q131" s="712"/>
      <c r="R131" s="712"/>
    </row>
    <row r="132" spans="1:18" s="478" customFormat="1" ht="13.8">
      <c r="A132" s="664" t="s">
        <v>292</v>
      </c>
      <c r="B132" s="665">
        <v>177.24</v>
      </c>
      <c r="C132" s="661"/>
      <c r="D132" s="710"/>
      <c r="E132" s="710"/>
      <c r="F132" s="710"/>
      <c r="G132" s="666"/>
      <c r="H132" s="710"/>
      <c r="I132" s="666"/>
      <c r="J132" s="661"/>
      <c r="K132" s="661"/>
      <c r="L132" s="661"/>
      <c r="M132" s="667"/>
      <c r="N132" s="712"/>
      <c r="O132" s="290"/>
      <c r="P132" s="712"/>
      <c r="Q132" s="712"/>
      <c r="R132" s="712"/>
    </row>
    <row r="133" spans="1:18" s="478" customFormat="1" ht="13.8">
      <c r="A133" s="661"/>
      <c r="B133" s="665"/>
      <c r="C133" s="661"/>
      <c r="D133" s="710"/>
      <c r="E133" s="710"/>
      <c r="F133" s="710"/>
      <c r="G133" s="666"/>
      <c r="H133" s="710"/>
      <c r="I133" s="666"/>
      <c r="J133" s="661"/>
      <c r="K133" s="661"/>
      <c r="L133" s="661"/>
      <c r="M133" s="667"/>
      <c r="N133" s="712"/>
      <c r="O133" s="290"/>
      <c r="P133" s="712"/>
      <c r="Q133" s="712"/>
      <c r="R133" s="712"/>
    </row>
    <row r="134" spans="1:18" s="478" customFormat="1" ht="13.8">
      <c r="A134" s="661" t="s">
        <v>303</v>
      </c>
      <c r="B134" s="665"/>
      <c r="C134" s="661"/>
      <c r="D134" s="710"/>
      <c r="E134" s="710"/>
      <c r="F134" s="710"/>
      <c r="G134" s="666"/>
      <c r="H134" s="710"/>
      <c r="I134" s="666"/>
      <c r="J134" s="661"/>
      <c r="K134" s="661"/>
      <c r="L134" s="661"/>
      <c r="M134" s="667"/>
      <c r="N134" s="712"/>
      <c r="O134" s="290"/>
      <c r="P134" s="712"/>
      <c r="Q134" s="712"/>
      <c r="R134" s="712"/>
    </row>
    <row r="135" spans="1:18" s="478" customFormat="1" ht="13.8">
      <c r="A135" s="664" t="s">
        <v>291</v>
      </c>
      <c r="B135" s="665"/>
      <c r="C135" s="661"/>
      <c r="D135" s="711">
        <f>+D131-D127</f>
        <v>109.67919863101775</v>
      </c>
      <c r="E135" s="710"/>
      <c r="F135" s="711">
        <f>+F131-F127</f>
        <v>104.54651310502283</v>
      </c>
      <c r="G135" s="666"/>
      <c r="H135" s="711">
        <f>IFERROR(+H131-H127,"")</f>
        <v>105.12082378651942</v>
      </c>
      <c r="I135" s="666"/>
      <c r="J135" s="668">
        <f>IFERROR(H135/D135-100%,0)</f>
        <v>-4.1560978758001244E-2</v>
      </c>
      <c r="K135" s="668"/>
      <c r="L135" s="668">
        <f>IFERROR(H135/F135-100%,"")</f>
        <v>5.4933508965495648E-3</v>
      </c>
      <c r="M135" s="667"/>
      <c r="N135" s="712"/>
      <c r="O135" s="290"/>
      <c r="P135" s="712"/>
      <c r="Q135" s="712"/>
      <c r="R135" s="712"/>
    </row>
    <row r="136" spans="1:18" s="478" customFormat="1" ht="13.8">
      <c r="A136" s="664" t="s">
        <v>292</v>
      </c>
      <c r="B136" s="665"/>
      <c r="C136" s="661"/>
      <c r="D136" s="710"/>
      <c r="E136" s="710"/>
      <c r="F136" s="666"/>
      <c r="G136" s="666"/>
      <c r="H136" s="666"/>
      <c r="I136" s="666"/>
      <c r="J136" s="661"/>
      <c r="K136" s="661"/>
      <c r="L136" s="661"/>
      <c r="M136" s="667"/>
      <c r="N136" s="712"/>
      <c r="O136" s="290"/>
      <c r="P136" s="712"/>
      <c r="Q136" s="712"/>
      <c r="R136" s="712"/>
    </row>
    <row r="137" spans="1:18" s="478" customFormat="1" ht="13.8">
      <c r="B137" s="652"/>
      <c r="D137" s="709"/>
      <c r="E137" s="709"/>
      <c r="F137" s="477"/>
      <c r="G137" s="477"/>
      <c r="H137" s="477"/>
      <c r="I137" s="477"/>
      <c r="M137" s="650"/>
      <c r="N137" s="712"/>
      <c r="O137" s="290"/>
      <c r="P137" s="712"/>
      <c r="Q137" s="712"/>
      <c r="R137" s="712"/>
    </row>
    <row r="138" spans="1:18" s="478" customFormat="1" ht="13.8">
      <c r="B138" s="652"/>
      <c r="D138" s="709"/>
      <c r="E138" s="709"/>
      <c r="F138" s="477"/>
      <c r="G138" s="477"/>
      <c r="H138" s="477"/>
      <c r="I138" s="477"/>
      <c r="M138" s="650"/>
      <c r="N138" s="712"/>
      <c r="O138" s="290"/>
      <c r="P138" s="712"/>
      <c r="Q138" s="712"/>
      <c r="R138" s="712"/>
    </row>
    <row r="139" spans="1:18" s="478" customFormat="1" ht="13.8">
      <c r="A139" s="671" t="s">
        <v>295</v>
      </c>
      <c r="B139" s="665" t="str">
        <f>+B111</f>
        <v>Kanton 2023</v>
      </c>
      <c r="C139" s="665"/>
      <c r="D139" s="669" t="str">
        <f t="shared" ref="D139:M139" si="25">+D111</f>
        <v>Rechnung 2022</v>
      </c>
      <c r="E139" s="669"/>
      <c r="F139" s="669" t="str">
        <f t="shared" si="25"/>
        <v>Budget 2023</v>
      </c>
      <c r="G139" s="669"/>
      <c r="H139" s="669" t="str">
        <f t="shared" si="25"/>
        <v>Budget 2024</v>
      </c>
      <c r="I139" s="665"/>
      <c r="J139" s="665" t="str">
        <f t="shared" si="25"/>
        <v>Δ 2024 zu 2022</v>
      </c>
      <c r="K139" s="665"/>
      <c r="L139" s="665" t="str">
        <f t="shared" si="25"/>
        <v>Δ 2024 zu B2023</v>
      </c>
      <c r="M139" s="733" t="str">
        <f t="shared" si="25"/>
        <v>Bemerkungen</v>
      </c>
      <c r="N139" s="712"/>
      <c r="O139" s="290"/>
      <c r="P139" s="712"/>
      <c r="Q139" s="712"/>
      <c r="R139" s="712"/>
    </row>
    <row r="140" spans="1:18" s="478" customFormat="1" ht="13.8">
      <c r="A140" s="661"/>
      <c r="B140" s="665"/>
      <c r="C140" s="661"/>
      <c r="D140" s="710"/>
      <c r="E140" s="710"/>
      <c r="F140" s="666"/>
      <c r="G140" s="666"/>
      <c r="H140" s="666"/>
      <c r="I140" s="666"/>
      <c r="J140" s="661"/>
      <c r="K140" s="661"/>
      <c r="L140" s="661"/>
      <c r="M140" s="667"/>
      <c r="N140" s="712"/>
      <c r="O140" s="290"/>
      <c r="P140" s="712"/>
      <c r="Q140" s="712"/>
      <c r="R140" s="712"/>
    </row>
    <row r="141" spans="1:18" s="478" customFormat="1" ht="13.8">
      <c r="A141" s="661" t="s">
        <v>302</v>
      </c>
      <c r="B141" s="665">
        <v>177.49</v>
      </c>
      <c r="C141" s="661"/>
      <c r="D141" s="710"/>
      <c r="E141" s="710"/>
      <c r="F141" s="666"/>
      <c r="G141" s="666"/>
      <c r="H141" s="666"/>
      <c r="I141" s="666"/>
      <c r="J141" s="661"/>
      <c r="K141" s="661"/>
      <c r="L141" s="661"/>
      <c r="M141" s="667"/>
      <c r="N141" s="712"/>
      <c r="O141" s="290"/>
      <c r="P141" s="712"/>
      <c r="Q141" s="712"/>
      <c r="R141" s="712"/>
    </row>
    <row r="142" spans="1:18" s="478" customFormat="1" ht="13.8">
      <c r="A142" s="664" t="s">
        <v>291</v>
      </c>
      <c r="B142" s="665">
        <v>182.3</v>
      </c>
      <c r="C142" s="661"/>
      <c r="D142" s="711">
        <f>+D120+D131</f>
        <v>182.05066609680355</v>
      </c>
      <c r="E142" s="710"/>
      <c r="F142" s="711">
        <f t="shared" ref="F142" si="26">+F120+F131</f>
        <v>177.33679106186764</v>
      </c>
      <c r="G142" s="710"/>
      <c r="H142" s="711">
        <f>IFERROR(+H120+H131,"")</f>
        <v>183.57086068627089</v>
      </c>
      <c r="I142" s="666"/>
      <c r="J142" s="668">
        <f>IFERROR(H142/D142-100%,0)</f>
        <v>8.3503928991888188E-3</v>
      </c>
      <c r="K142" s="668"/>
      <c r="L142" s="668">
        <f>IFERROR(H142/F142-100%,"")</f>
        <v>3.5153842511046474E-2</v>
      </c>
      <c r="M142" s="667"/>
      <c r="N142" s="712"/>
      <c r="O142" s="290"/>
      <c r="P142" s="712"/>
      <c r="Q142" s="712"/>
      <c r="R142" s="712"/>
    </row>
    <row r="143" spans="1:18" s="478" customFormat="1" ht="13.8">
      <c r="A143" s="664" t="s">
        <v>292</v>
      </c>
      <c r="B143" s="665">
        <v>196.08</v>
      </c>
      <c r="C143" s="661"/>
      <c r="D143" s="710"/>
      <c r="E143" s="710"/>
      <c r="F143" s="666"/>
      <c r="G143" s="666"/>
      <c r="H143" s="666"/>
      <c r="I143" s="666"/>
      <c r="J143" s="661"/>
      <c r="K143" s="661"/>
      <c r="L143" s="661"/>
      <c r="M143" s="667"/>
      <c r="N143" s="712"/>
      <c r="O143" s="290"/>
      <c r="P143" s="712"/>
      <c r="Q143" s="712"/>
      <c r="R143" s="712"/>
    </row>
    <row r="144" spans="1:18" s="478" customFormat="1" ht="13.8">
      <c r="D144" s="516"/>
      <c r="E144" s="516"/>
      <c r="F144" s="649"/>
      <c r="G144" s="649"/>
      <c r="H144" s="477"/>
      <c r="I144" s="477"/>
      <c r="M144" s="650"/>
      <c r="N144" s="712"/>
      <c r="O144" s="290"/>
      <c r="P144" s="712"/>
      <c r="Q144" s="712"/>
      <c r="R144" s="712"/>
    </row>
    <row r="145" spans="4:18" s="478" customFormat="1" ht="13.8">
      <c r="D145" s="516"/>
      <c r="E145" s="516"/>
      <c r="F145" s="649"/>
      <c r="G145" s="649"/>
      <c r="H145" s="477"/>
      <c r="I145" s="477"/>
      <c r="M145" s="650"/>
      <c r="N145" s="712"/>
      <c r="O145" s="290"/>
      <c r="P145" s="712"/>
      <c r="Q145" s="712"/>
      <c r="R145" s="712"/>
    </row>
    <row r="146" spans="4:18" s="478" customFormat="1" ht="13.8">
      <c r="D146" s="516"/>
      <c r="E146" s="516"/>
      <c r="F146" s="649"/>
      <c r="G146" s="649"/>
      <c r="H146" s="477"/>
      <c r="I146" s="477"/>
      <c r="M146" s="650"/>
      <c r="N146" s="712"/>
      <c r="O146" s="290"/>
      <c r="P146" s="712"/>
      <c r="Q146" s="712"/>
      <c r="R146" s="712"/>
    </row>
    <row r="147" spans="4:18" s="478" customFormat="1" ht="13.8">
      <c r="D147" s="516"/>
      <c r="E147" s="516"/>
      <c r="F147" s="649"/>
      <c r="G147" s="649"/>
      <c r="H147" s="477"/>
      <c r="I147" s="477"/>
      <c r="M147" s="650"/>
      <c r="N147" s="712"/>
      <c r="O147" s="290"/>
      <c r="P147" s="712"/>
      <c r="Q147" s="712"/>
      <c r="R147" s="712"/>
    </row>
    <row r="148" spans="4:18" s="478" customFormat="1" ht="13.8">
      <c r="D148" s="516"/>
      <c r="E148" s="516"/>
      <c r="F148" s="649"/>
      <c r="G148" s="649"/>
      <c r="H148" s="477"/>
      <c r="I148" s="477"/>
      <c r="M148" s="650"/>
      <c r="N148" s="712"/>
      <c r="O148" s="290"/>
      <c r="P148" s="712"/>
      <c r="Q148" s="712"/>
      <c r="R148" s="712"/>
    </row>
    <row r="149" spans="4:18" s="478" customFormat="1" ht="13.8">
      <c r="D149" s="516"/>
      <c r="E149" s="516"/>
      <c r="F149" s="649"/>
      <c r="G149" s="649"/>
      <c r="H149" s="477"/>
      <c r="I149" s="477"/>
      <c r="M149" s="650"/>
      <c r="N149" s="712"/>
      <c r="O149" s="290"/>
      <c r="P149" s="712"/>
      <c r="Q149" s="712"/>
      <c r="R149" s="712"/>
    </row>
    <row r="150" spans="4:18" s="478" customFormat="1" ht="13.8">
      <c r="D150" s="516"/>
      <c r="E150" s="516"/>
      <c r="F150" s="649"/>
      <c r="G150" s="649"/>
      <c r="H150" s="477"/>
      <c r="I150" s="477"/>
      <c r="M150" s="650"/>
      <c r="N150" s="712"/>
      <c r="O150" s="290"/>
      <c r="P150" s="712"/>
      <c r="Q150" s="712"/>
      <c r="R150" s="712"/>
    </row>
    <row r="151" spans="4:18" s="478" customFormat="1" ht="13.8">
      <c r="D151" s="516"/>
      <c r="E151" s="516"/>
      <c r="F151" s="649"/>
      <c r="G151" s="649"/>
      <c r="H151" s="477"/>
      <c r="I151" s="477"/>
      <c r="M151" s="650"/>
      <c r="N151" s="712"/>
      <c r="O151" s="290"/>
      <c r="P151" s="712"/>
      <c r="Q151" s="712"/>
      <c r="R151" s="712"/>
    </row>
    <row r="152" spans="4:18" s="478" customFormat="1" ht="13.8">
      <c r="D152" s="516"/>
      <c r="E152" s="516"/>
      <c r="F152" s="649"/>
      <c r="G152" s="649"/>
      <c r="H152" s="477"/>
      <c r="I152" s="477"/>
      <c r="M152" s="650"/>
      <c r="N152" s="712"/>
      <c r="O152" s="290"/>
      <c r="P152" s="712"/>
      <c r="Q152" s="712"/>
      <c r="R152" s="712"/>
    </row>
    <row r="153" spans="4:18" s="478" customFormat="1" ht="13.8">
      <c r="D153" s="516"/>
      <c r="E153" s="516"/>
      <c r="F153" s="649"/>
      <c r="G153" s="649"/>
      <c r="H153" s="477"/>
      <c r="I153" s="477"/>
      <c r="M153" s="650"/>
      <c r="N153" s="712"/>
      <c r="O153" s="290"/>
      <c r="P153" s="712"/>
      <c r="Q153" s="712"/>
      <c r="R153" s="712"/>
    </row>
    <row r="154" spans="4:18" s="478" customFormat="1" ht="13.8">
      <c r="D154" s="516"/>
      <c r="E154" s="516"/>
      <c r="F154" s="649"/>
      <c r="G154" s="649"/>
      <c r="H154" s="477"/>
      <c r="I154" s="477"/>
      <c r="M154" s="650"/>
      <c r="N154" s="712"/>
      <c r="O154" s="290"/>
      <c r="P154" s="712"/>
      <c r="Q154" s="712"/>
      <c r="R154" s="712"/>
    </row>
    <row r="155" spans="4:18" s="478" customFormat="1" ht="13.8">
      <c r="D155" s="516"/>
      <c r="E155" s="516"/>
      <c r="F155" s="649"/>
      <c r="G155" s="649"/>
      <c r="H155" s="477"/>
      <c r="I155" s="477"/>
      <c r="M155" s="650"/>
      <c r="N155" s="712"/>
      <c r="O155" s="290"/>
      <c r="P155" s="712"/>
      <c r="Q155" s="712"/>
      <c r="R155" s="712"/>
    </row>
    <row r="156" spans="4:18" s="478" customFormat="1" ht="13.8">
      <c r="D156" s="516"/>
      <c r="E156" s="516"/>
      <c r="F156" s="649"/>
      <c r="G156" s="649"/>
      <c r="H156" s="477"/>
      <c r="I156" s="477"/>
      <c r="M156" s="650"/>
      <c r="N156" s="712"/>
      <c r="O156" s="290"/>
      <c r="P156" s="712"/>
      <c r="Q156" s="712"/>
      <c r="R156" s="712"/>
    </row>
    <row r="157" spans="4:18" s="478" customFormat="1" ht="13.8">
      <c r="D157" s="516"/>
      <c r="E157" s="516"/>
      <c r="F157" s="649"/>
      <c r="G157" s="649"/>
      <c r="H157" s="477"/>
      <c r="I157" s="477"/>
      <c r="M157" s="650"/>
      <c r="N157" s="712"/>
      <c r="O157" s="290"/>
      <c r="P157" s="712"/>
      <c r="Q157" s="712"/>
      <c r="R157" s="712"/>
    </row>
    <row r="158" spans="4:18" s="478" customFormat="1" ht="13.8">
      <c r="D158" s="516"/>
      <c r="E158" s="516"/>
      <c r="F158" s="649"/>
      <c r="G158" s="649"/>
      <c r="H158" s="477"/>
      <c r="I158" s="477"/>
      <c r="M158" s="650"/>
      <c r="N158" s="712"/>
      <c r="O158" s="290"/>
      <c r="P158" s="712"/>
      <c r="Q158" s="712"/>
      <c r="R158" s="712"/>
    </row>
    <row r="159" spans="4:18" s="478" customFormat="1" ht="13.8">
      <c r="D159" s="516"/>
      <c r="E159" s="516"/>
      <c r="F159" s="649"/>
      <c r="G159" s="649"/>
      <c r="H159" s="477"/>
      <c r="I159" s="477"/>
      <c r="M159" s="650"/>
      <c r="N159" s="712"/>
      <c r="O159" s="290"/>
      <c r="P159" s="712"/>
      <c r="Q159" s="712"/>
      <c r="R159" s="712"/>
    </row>
    <row r="160" spans="4:18" s="478" customFormat="1" ht="13.8">
      <c r="D160" s="516"/>
      <c r="E160" s="516"/>
      <c r="F160" s="649"/>
      <c r="G160" s="649"/>
      <c r="H160" s="477"/>
      <c r="I160" s="477"/>
      <c r="M160" s="650"/>
      <c r="N160" s="712"/>
      <c r="O160" s="290"/>
      <c r="P160" s="712"/>
      <c r="Q160" s="712"/>
      <c r="R160" s="712"/>
    </row>
    <row r="161" spans="4:18" s="478" customFormat="1" ht="13.8">
      <c r="D161" s="516"/>
      <c r="E161" s="516"/>
      <c r="F161" s="649"/>
      <c r="G161" s="649"/>
      <c r="H161" s="477"/>
      <c r="I161" s="477"/>
      <c r="M161" s="650"/>
      <c r="N161" s="712"/>
      <c r="O161" s="290"/>
      <c r="P161" s="712"/>
      <c r="Q161" s="712"/>
      <c r="R161" s="712"/>
    </row>
    <row r="162" spans="4:18" s="478" customFormat="1" ht="13.8">
      <c r="D162" s="516"/>
      <c r="E162" s="516"/>
      <c r="F162" s="649"/>
      <c r="G162" s="649"/>
      <c r="H162" s="477"/>
      <c r="I162" s="477"/>
      <c r="M162" s="650"/>
      <c r="N162" s="712"/>
      <c r="O162" s="290"/>
      <c r="P162" s="712"/>
      <c r="Q162" s="712"/>
      <c r="R162" s="712"/>
    </row>
    <row r="163" spans="4:18" s="478" customFormat="1" ht="13.8">
      <c r="D163" s="516"/>
      <c r="E163" s="516"/>
      <c r="F163" s="649"/>
      <c r="G163" s="649"/>
      <c r="H163" s="477"/>
      <c r="I163" s="477"/>
      <c r="M163" s="650"/>
      <c r="N163" s="712"/>
      <c r="O163" s="290"/>
      <c r="P163" s="712"/>
      <c r="Q163" s="712"/>
      <c r="R163" s="712"/>
    </row>
    <row r="164" spans="4:18" s="478" customFormat="1" ht="13.8">
      <c r="D164" s="516"/>
      <c r="E164" s="516"/>
      <c r="F164" s="649"/>
      <c r="G164" s="649"/>
      <c r="H164" s="477"/>
      <c r="I164" s="477"/>
      <c r="M164" s="650"/>
      <c r="N164" s="712"/>
      <c r="O164" s="290"/>
      <c r="P164" s="712"/>
      <c r="Q164" s="712"/>
      <c r="R164" s="712"/>
    </row>
    <row r="165" spans="4:18" s="478" customFormat="1" ht="13.8">
      <c r="D165" s="516"/>
      <c r="E165" s="516"/>
      <c r="F165" s="649"/>
      <c r="G165" s="649"/>
      <c r="H165" s="477"/>
      <c r="I165" s="477"/>
      <c r="M165" s="650"/>
      <c r="N165" s="712"/>
      <c r="O165" s="290"/>
      <c r="P165" s="712"/>
      <c r="Q165" s="712"/>
      <c r="R165" s="712"/>
    </row>
    <row r="166" spans="4:18" s="478" customFormat="1" ht="13.8">
      <c r="D166" s="516"/>
      <c r="E166" s="516"/>
      <c r="F166" s="649"/>
      <c r="G166" s="649"/>
      <c r="H166" s="477"/>
      <c r="I166" s="477"/>
      <c r="M166" s="650"/>
      <c r="N166" s="712"/>
      <c r="O166" s="290"/>
      <c r="P166" s="712"/>
      <c r="Q166" s="712"/>
      <c r="R166" s="712"/>
    </row>
    <row r="167" spans="4:18" s="478" customFormat="1" ht="13.8">
      <c r="D167" s="516"/>
      <c r="E167" s="516"/>
      <c r="F167" s="649"/>
      <c r="G167" s="649"/>
      <c r="H167" s="477"/>
      <c r="I167" s="477"/>
      <c r="M167" s="650"/>
      <c r="N167" s="712"/>
      <c r="O167" s="290"/>
      <c r="P167" s="712"/>
      <c r="Q167" s="712"/>
      <c r="R167" s="712"/>
    </row>
    <row r="168" spans="4:18" s="478" customFormat="1" ht="13.8">
      <c r="D168" s="516"/>
      <c r="E168" s="516"/>
      <c r="F168" s="649"/>
      <c r="G168" s="649"/>
      <c r="H168" s="477"/>
      <c r="I168" s="477"/>
      <c r="M168" s="650"/>
      <c r="N168" s="712"/>
      <c r="O168" s="290"/>
      <c r="P168" s="712"/>
      <c r="Q168" s="712"/>
      <c r="R168" s="712"/>
    </row>
    <row r="169" spans="4:18" s="478" customFormat="1" ht="13.8">
      <c r="D169" s="516"/>
      <c r="E169" s="516"/>
      <c r="F169" s="649"/>
      <c r="G169" s="649"/>
      <c r="H169" s="477"/>
      <c r="I169" s="477"/>
      <c r="M169" s="650"/>
      <c r="N169" s="712"/>
      <c r="O169" s="290"/>
      <c r="P169" s="712"/>
      <c r="Q169" s="712"/>
      <c r="R169" s="712"/>
    </row>
    <row r="170" spans="4:18" s="478" customFormat="1" ht="13.8">
      <c r="D170" s="516"/>
      <c r="E170" s="516"/>
      <c r="F170" s="649"/>
      <c r="G170" s="649"/>
      <c r="H170" s="477"/>
      <c r="I170" s="477"/>
      <c r="M170" s="650"/>
      <c r="N170" s="712"/>
      <c r="O170" s="290"/>
      <c r="P170" s="712"/>
      <c r="Q170" s="712"/>
      <c r="R170" s="712"/>
    </row>
    <row r="171" spans="4:18" s="478" customFormat="1" ht="13.2">
      <c r="D171" s="516"/>
      <c r="E171" s="516"/>
      <c r="F171" s="649"/>
      <c r="G171" s="649"/>
      <c r="H171" s="477"/>
      <c r="I171" s="477"/>
      <c r="M171" s="650"/>
      <c r="N171" s="712"/>
      <c r="O171" s="649"/>
      <c r="P171" s="712"/>
      <c r="Q171" s="712"/>
      <c r="R171" s="712"/>
    </row>
    <row r="172" spans="4:18" s="478" customFormat="1" ht="13.2">
      <c r="D172" s="516"/>
      <c r="E172" s="516"/>
      <c r="F172" s="649"/>
      <c r="G172" s="649"/>
      <c r="H172" s="477"/>
      <c r="I172" s="477"/>
      <c r="M172" s="650"/>
      <c r="N172" s="712"/>
      <c r="O172" s="649"/>
      <c r="P172" s="712"/>
      <c r="Q172" s="712"/>
      <c r="R172" s="712"/>
    </row>
    <row r="173" spans="4:18" s="478" customFormat="1" ht="13.2">
      <c r="D173" s="516"/>
      <c r="E173" s="516"/>
      <c r="F173" s="649"/>
      <c r="G173" s="649"/>
      <c r="H173" s="477"/>
      <c r="I173" s="477"/>
      <c r="M173" s="650"/>
      <c r="N173" s="712"/>
      <c r="O173" s="649"/>
      <c r="P173" s="712"/>
      <c r="Q173" s="712"/>
      <c r="R173" s="712"/>
    </row>
    <row r="174" spans="4:18" s="478" customFormat="1" ht="13.2">
      <c r="D174" s="516"/>
      <c r="E174" s="516"/>
      <c r="F174" s="649"/>
      <c r="G174" s="649"/>
      <c r="H174" s="477"/>
      <c r="I174" s="477"/>
      <c r="M174" s="650"/>
      <c r="N174" s="712"/>
      <c r="O174" s="649"/>
      <c r="P174" s="712"/>
      <c r="Q174" s="712"/>
      <c r="R174" s="712"/>
    </row>
    <row r="175" spans="4:18" s="478" customFormat="1" ht="13.2">
      <c r="D175" s="516"/>
      <c r="E175" s="516"/>
      <c r="F175" s="649"/>
      <c r="G175" s="649"/>
      <c r="H175" s="477"/>
      <c r="I175" s="477"/>
      <c r="M175" s="650"/>
      <c r="N175" s="712"/>
      <c r="O175" s="649"/>
      <c r="P175" s="712"/>
      <c r="Q175" s="712"/>
      <c r="R175" s="712"/>
    </row>
    <row r="176" spans="4:18" s="478" customFormat="1" ht="13.2">
      <c r="D176" s="516"/>
      <c r="E176" s="516"/>
      <c r="F176" s="649"/>
      <c r="G176" s="649"/>
      <c r="H176" s="477"/>
      <c r="I176" s="477"/>
      <c r="M176" s="650"/>
      <c r="N176" s="712"/>
      <c r="O176" s="649"/>
      <c r="P176" s="712"/>
      <c r="Q176" s="712"/>
      <c r="R176" s="712"/>
    </row>
    <row r="177" spans="4:18" s="478" customFormat="1" ht="13.2">
      <c r="D177" s="516"/>
      <c r="E177" s="516"/>
      <c r="F177" s="649"/>
      <c r="G177" s="649"/>
      <c r="H177" s="477"/>
      <c r="I177" s="477"/>
      <c r="M177" s="650"/>
      <c r="N177" s="712"/>
      <c r="O177" s="649"/>
      <c r="P177" s="712"/>
      <c r="Q177" s="712"/>
      <c r="R177" s="712"/>
    </row>
    <row r="178" spans="4:18" s="478" customFormat="1" ht="13.2">
      <c r="D178" s="516"/>
      <c r="E178" s="516"/>
      <c r="F178" s="649"/>
      <c r="G178" s="649"/>
      <c r="H178" s="477"/>
      <c r="I178" s="477"/>
      <c r="M178" s="650"/>
      <c r="N178" s="712"/>
      <c r="O178" s="649"/>
      <c r="P178" s="712"/>
      <c r="Q178" s="712"/>
      <c r="R178" s="712"/>
    </row>
    <row r="179" spans="4:18" s="478" customFormat="1" ht="13.2">
      <c r="D179" s="516"/>
      <c r="E179" s="516"/>
      <c r="F179" s="649"/>
      <c r="G179" s="649"/>
      <c r="H179" s="477"/>
      <c r="I179" s="477"/>
      <c r="M179" s="650"/>
      <c r="N179" s="712"/>
      <c r="O179" s="649"/>
      <c r="P179" s="712"/>
      <c r="Q179" s="712"/>
      <c r="R179" s="712"/>
    </row>
    <row r="180" spans="4:18" s="478" customFormat="1" ht="13.2">
      <c r="D180" s="516"/>
      <c r="E180" s="516"/>
      <c r="F180" s="649"/>
      <c r="G180" s="649"/>
      <c r="H180" s="477"/>
      <c r="I180" s="477"/>
      <c r="M180" s="650"/>
      <c r="N180" s="712"/>
      <c r="O180" s="649"/>
      <c r="P180" s="712"/>
      <c r="Q180" s="712"/>
      <c r="R180" s="712"/>
    </row>
    <row r="181" spans="4:18" s="478" customFormat="1" ht="13.2">
      <c r="D181" s="516"/>
      <c r="E181" s="516"/>
      <c r="F181" s="649"/>
      <c r="G181" s="649"/>
      <c r="H181" s="477"/>
      <c r="I181" s="477"/>
      <c r="M181" s="650"/>
      <c r="N181" s="712"/>
      <c r="O181" s="649"/>
      <c r="P181" s="712"/>
      <c r="Q181" s="712"/>
      <c r="R181" s="712"/>
    </row>
    <row r="182" spans="4:18" s="478" customFormat="1" ht="13.2">
      <c r="D182" s="516"/>
      <c r="E182" s="516"/>
      <c r="F182" s="649"/>
      <c r="G182" s="649"/>
      <c r="H182" s="477"/>
      <c r="I182" s="477"/>
      <c r="M182" s="650"/>
      <c r="N182" s="712"/>
      <c r="O182" s="649"/>
      <c r="P182" s="712"/>
      <c r="Q182" s="712"/>
      <c r="R182" s="712"/>
    </row>
    <row r="183" spans="4:18" s="478" customFormat="1" ht="13.2">
      <c r="D183" s="516"/>
      <c r="E183" s="516"/>
      <c r="F183" s="649"/>
      <c r="G183" s="649"/>
      <c r="H183" s="477"/>
      <c r="I183" s="477"/>
      <c r="M183" s="650"/>
      <c r="N183" s="712"/>
      <c r="O183" s="649"/>
      <c r="P183" s="712"/>
      <c r="Q183" s="712"/>
      <c r="R183" s="712"/>
    </row>
    <row r="184" spans="4:18" s="478" customFormat="1" ht="13.2">
      <c r="D184" s="516"/>
      <c r="E184" s="516"/>
      <c r="F184" s="649"/>
      <c r="G184" s="649"/>
      <c r="H184" s="477"/>
      <c r="I184" s="477"/>
      <c r="M184" s="650"/>
      <c r="N184" s="712"/>
      <c r="O184" s="649"/>
      <c r="P184" s="712"/>
      <c r="Q184" s="712"/>
      <c r="R184" s="712"/>
    </row>
    <row r="185" spans="4:18" s="478" customFormat="1" ht="13.2">
      <c r="D185" s="516"/>
      <c r="E185" s="516"/>
      <c r="F185" s="649"/>
      <c r="G185" s="649"/>
      <c r="H185" s="477"/>
      <c r="I185" s="477"/>
      <c r="M185" s="650"/>
      <c r="N185" s="712"/>
      <c r="O185" s="649"/>
      <c r="P185" s="712"/>
      <c r="Q185" s="712"/>
      <c r="R185" s="712"/>
    </row>
    <row r="186" spans="4:18" s="478" customFormat="1" ht="13.2">
      <c r="D186" s="516"/>
      <c r="E186" s="516"/>
      <c r="F186" s="649"/>
      <c r="G186" s="649"/>
      <c r="H186" s="477"/>
      <c r="I186" s="477"/>
      <c r="M186" s="650"/>
      <c r="N186" s="712"/>
      <c r="O186" s="649"/>
      <c r="P186" s="712"/>
      <c r="Q186" s="712"/>
      <c r="R186" s="712"/>
    </row>
    <row r="187" spans="4:18" s="478" customFormat="1" ht="13.2">
      <c r="D187" s="516"/>
      <c r="E187" s="516"/>
      <c r="F187" s="649"/>
      <c r="G187" s="649"/>
      <c r="H187" s="477"/>
      <c r="I187" s="477"/>
      <c r="M187" s="650"/>
      <c r="N187" s="712"/>
      <c r="O187" s="649"/>
      <c r="P187" s="712"/>
      <c r="Q187" s="712"/>
      <c r="R187" s="712"/>
    </row>
    <row r="188" spans="4:18" s="478" customFormat="1" ht="13.2">
      <c r="D188" s="516"/>
      <c r="E188" s="516"/>
      <c r="F188" s="649"/>
      <c r="G188" s="649"/>
      <c r="H188" s="477"/>
      <c r="I188" s="477"/>
      <c r="M188" s="650"/>
      <c r="N188" s="712"/>
      <c r="O188" s="649"/>
      <c r="P188" s="712"/>
      <c r="Q188" s="712"/>
      <c r="R188" s="712"/>
    </row>
    <row r="189" spans="4:18" s="478" customFormat="1" ht="13.2">
      <c r="D189" s="516"/>
      <c r="E189" s="516"/>
      <c r="F189" s="649"/>
      <c r="G189" s="649"/>
      <c r="H189" s="477"/>
      <c r="I189" s="477"/>
      <c r="M189" s="650"/>
      <c r="N189" s="712"/>
      <c r="O189" s="649"/>
      <c r="P189" s="712"/>
      <c r="Q189" s="712"/>
      <c r="R189" s="712"/>
    </row>
    <row r="190" spans="4:18" s="478" customFormat="1" ht="13.2">
      <c r="D190" s="516"/>
      <c r="E190" s="516"/>
      <c r="F190" s="649"/>
      <c r="G190" s="649"/>
      <c r="H190" s="477"/>
      <c r="I190" s="477"/>
      <c r="M190" s="650"/>
      <c r="N190" s="712"/>
      <c r="O190" s="649"/>
      <c r="P190" s="712"/>
      <c r="Q190" s="712"/>
      <c r="R190" s="712"/>
    </row>
    <row r="191" spans="4:18" s="478" customFormat="1" ht="13.2">
      <c r="D191" s="516"/>
      <c r="E191" s="516"/>
      <c r="F191" s="649"/>
      <c r="G191" s="649"/>
      <c r="H191" s="477"/>
      <c r="I191" s="477"/>
      <c r="M191" s="650"/>
      <c r="N191" s="712"/>
      <c r="O191" s="649"/>
      <c r="P191" s="712"/>
      <c r="Q191" s="712"/>
      <c r="R191" s="712"/>
    </row>
    <row r="192" spans="4:18" s="478" customFormat="1" ht="13.2">
      <c r="D192" s="516"/>
      <c r="E192" s="516"/>
      <c r="F192" s="649"/>
      <c r="G192" s="649"/>
      <c r="H192" s="477"/>
      <c r="I192" s="477"/>
      <c r="M192" s="650"/>
      <c r="N192" s="712"/>
      <c r="O192" s="649"/>
      <c r="P192" s="712"/>
      <c r="Q192" s="712"/>
      <c r="R192" s="712"/>
    </row>
    <row r="193" spans="4:18" s="478" customFormat="1" ht="13.2">
      <c r="D193" s="516"/>
      <c r="E193" s="516"/>
      <c r="F193" s="649"/>
      <c r="G193" s="649"/>
      <c r="H193" s="477"/>
      <c r="I193" s="477"/>
      <c r="M193" s="650"/>
      <c r="N193" s="712"/>
      <c r="O193" s="649"/>
      <c r="P193" s="712"/>
      <c r="Q193" s="712"/>
      <c r="R193" s="712"/>
    </row>
    <row r="194" spans="4:18" s="478" customFormat="1" ht="13.2">
      <c r="D194" s="516"/>
      <c r="E194" s="516"/>
      <c r="F194" s="649"/>
      <c r="G194" s="649"/>
      <c r="H194" s="477"/>
      <c r="I194" s="477"/>
      <c r="M194" s="650"/>
      <c r="N194" s="712"/>
      <c r="O194" s="649"/>
      <c r="P194" s="712"/>
      <c r="Q194" s="712"/>
      <c r="R194" s="712"/>
    </row>
    <row r="195" spans="4:18" s="478" customFormat="1" ht="13.2">
      <c r="D195" s="516"/>
      <c r="E195" s="516"/>
      <c r="F195" s="649"/>
      <c r="G195" s="649"/>
      <c r="H195" s="477"/>
      <c r="I195" s="477"/>
      <c r="M195" s="650"/>
      <c r="N195" s="712"/>
      <c r="O195" s="649"/>
      <c r="P195" s="712"/>
      <c r="Q195" s="712"/>
      <c r="R195" s="712"/>
    </row>
    <row r="196" spans="4:18" s="478" customFormat="1" ht="13.2">
      <c r="D196" s="516"/>
      <c r="E196" s="516"/>
      <c r="F196" s="649"/>
      <c r="G196" s="649"/>
      <c r="H196" s="477"/>
      <c r="I196" s="477"/>
      <c r="M196" s="650"/>
      <c r="N196" s="712"/>
      <c r="O196" s="649"/>
      <c r="P196" s="712"/>
      <c r="Q196" s="712"/>
      <c r="R196" s="712"/>
    </row>
    <row r="197" spans="4:18" s="478" customFormat="1" ht="13.2">
      <c r="D197" s="516"/>
      <c r="E197" s="516"/>
      <c r="F197" s="649"/>
      <c r="G197" s="649"/>
      <c r="H197" s="477"/>
      <c r="I197" s="477"/>
      <c r="M197" s="650"/>
      <c r="N197" s="712"/>
      <c r="O197" s="649"/>
      <c r="P197" s="712"/>
      <c r="Q197" s="712"/>
      <c r="R197" s="712"/>
    </row>
    <row r="198" spans="4:18" s="478" customFormat="1" ht="13.2">
      <c r="D198" s="516"/>
      <c r="E198" s="516"/>
      <c r="F198" s="649"/>
      <c r="G198" s="649"/>
      <c r="H198" s="477"/>
      <c r="I198" s="477"/>
      <c r="M198" s="650"/>
      <c r="N198" s="712"/>
      <c r="O198" s="649"/>
      <c r="P198" s="712"/>
      <c r="Q198" s="712"/>
      <c r="R198" s="712"/>
    </row>
    <row r="199" spans="4:18" s="478" customFormat="1" ht="13.2">
      <c r="D199" s="516"/>
      <c r="E199" s="516"/>
      <c r="F199" s="649"/>
      <c r="G199" s="649"/>
      <c r="H199" s="477"/>
      <c r="I199" s="477"/>
      <c r="M199" s="650"/>
      <c r="N199" s="712"/>
      <c r="O199" s="649"/>
      <c r="P199" s="712"/>
      <c r="Q199" s="712"/>
      <c r="R199" s="712"/>
    </row>
    <row r="200" spans="4:18" s="478" customFormat="1" ht="13.2">
      <c r="D200" s="516"/>
      <c r="E200" s="516"/>
      <c r="F200" s="649"/>
      <c r="G200" s="649"/>
      <c r="H200" s="477"/>
      <c r="I200" s="477"/>
      <c r="M200" s="650"/>
      <c r="N200" s="712"/>
      <c r="O200" s="649"/>
      <c r="P200" s="712"/>
      <c r="Q200" s="712"/>
      <c r="R200" s="712"/>
    </row>
    <row r="201" spans="4:18" s="478" customFormat="1" ht="13.2">
      <c r="D201" s="516"/>
      <c r="E201" s="516"/>
      <c r="F201" s="649"/>
      <c r="G201" s="649"/>
      <c r="H201" s="477"/>
      <c r="I201" s="477"/>
      <c r="M201" s="650"/>
      <c r="N201" s="712"/>
      <c r="O201" s="649"/>
      <c r="P201" s="712"/>
      <c r="Q201" s="712"/>
      <c r="R201" s="712"/>
    </row>
    <row r="202" spans="4:18" s="478" customFormat="1" ht="13.2">
      <c r="D202" s="516"/>
      <c r="E202" s="516"/>
      <c r="F202" s="649"/>
      <c r="G202" s="649"/>
      <c r="H202" s="477"/>
      <c r="I202" s="477"/>
      <c r="M202" s="650"/>
      <c r="N202" s="712"/>
      <c r="O202" s="649"/>
      <c r="P202" s="712"/>
      <c r="Q202" s="712"/>
      <c r="R202" s="712"/>
    </row>
    <row r="203" spans="4:18" s="478" customFormat="1" ht="13.2">
      <c r="D203" s="516"/>
      <c r="E203" s="516"/>
      <c r="F203" s="649"/>
      <c r="G203" s="649"/>
      <c r="H203" s="477"/>
      <c r="I203" s="477"/>
      <c r="M203" s="650"/>
      <c r="N203" s="712"/>
      <c r="O203" s="649"/>
      <c r="P203" s="712"/>
      <c r="Q203" s="712"/>
      <c r="R203" s="712"/>
    </row>
    <row r="204" spans="4:18" s="478" customFormat="1" ht="13.2">
      <c r="D204" s="516"/>
      <c r="E204" s="516"/>
      <c r="F204" s="649"/>
      <c r="G204" s="649"/>
      <c r="H204" s="477"/>
      <c r="I204" s="477"/>
      <c r="M204" s="650"/>
      <c r="N204" s="712"/>
      <c r="O204" s="649"/>
      <c r="P204" s="712"/>
      <c r="Q204" s="712"/>
      <c r="R204" s="712"/>
    </row>
    <row r="205" spans="4:18" s="478" customFormat="1" ht="13.2">
      <c r="D205" s="516"/>
      <c r="E205" s="516"/>
      <c r="F205" s="649"/>
      <c r="G205" s="649"/>
      <c r="H205" s="477"/>
      <c r="I205" s="477"/>
      <c r="M205" s="650"/>
      <c r="N205" s="712"/>
      <c r="O205" s="649"/>
      <c r="P205" s="712"/>
      <c r="Q205" s="712"/>
      <c r="R205" s="712"/>
    </row>
    <row r="206" spans="4:18" s="478" customFormat="1" ht="13.2">
      <c r="D206" s="516"/>
      <c r="E206" s="516"/>
      <c r="F206" s="649"/>
      <c r="G206" s="649"/>
      <c r="H206" s="477"/>
      <c r="I206" s="477"/>
      <c r="M206" s="650"/>
      <c r="N206" s="712"/>
      <c r="O206" s="649"/>
      <c r="P206" s="712"/>
      <c r="Q206" s="712"/>
      <c r="R206" s="712"/>
    </row>
    <row r="207" spans="4:18" s="478" customFormat="1" ht="13.2">
      <c r="D207" s="516"/>
      <c r="E207" s="516"/>
      <c r="F207" s="649"/>
      <c r="G207" s="649"/>
      <c r="H207" s="477"/>
      <c r="I207" s="477"/>
      <c r="M207" s="650"/>
      <c r="N207" s="712"/>
      <c r="O207" s="649"/>
      <c r="P207" s="712"/>
      <c r="Q207" s="712"/>
      <c r="R207" s="712"/>
    </row>
    <row r="208" spans="4:18" s="478" customFormat="1" ht="13.2">
      <c r="D208" s="516"/>
      <c r="E208" s="516"/>
      <c r="F208" s="649"/>
      <c r="G208" s="649"/>
      <c r="H208" s="477"/>
      <c r="I208" s="477"/>
      <c r="M208" s="650"/>
      <c r="N208" s="712"/>
      <c r="O208" s="649"/>
      <c r="P208" s="712"/>
      <c r="Q208" s="712"/>
      <c r="R208" s="712"/>
    </row>
    <row r="209" spans="4:18" s="478" customFormat="1" ht="13.2">
      <c r="D209" s="516"/>
      <c r="E209" s="516"/>
      <c r="F209" s="649"/>
      <c r="G209" s="649"/>
      <c r="H209" s="477"/>
      <c r="I209" s="477"/>
      <c r="M209" s="650"/>
      <c r="N209" s="712"/>
      <c r="O209" s="649"/>
      <c r="P209" s="712"/>
      <c r="Q209" s="712"/>
      <c r="R209" s="712"/>
    </row>
  </sheetData>
  <sheetProtection algorithmName="SHA-512" hashValue="yV1pCFlzCRLW7DCBKXAx0+91I9kV15XIpsKVpZz1V6UAN+fegmP14fh0qHLUccC1sxXF8iUFOlbUI63fBsHtEA==" saltValue="5ynWhWAPSYWl7/wMPlNfhg==" spinCount="100000" sheet="1" formatCells="0" selectLockedCells="1"/>
  <conditionalFormatting sqref="E60 G39 I39 E5:E21 E55:E57 E44:E45 E52:E53 E47:E50 E62:E67 E69:E72 E75:E76 D1 E37:E39">
    <cfRule type="cellIs" dxfId="33" priority="91" operator="equal">
      <formula>0</formula>
    </cfRule>
  </conditionalFormatting>
  <conditionalFormatting sqref="G37:G38 G60 G55:G57 I78:I84 F69:G69 I86:I88 H74:I75 F76:I76 G44:I45 G5:G21 G52:I53 F70:I70 H55:I59 G72:I72 E58:G59 I90:I97 G47:H50 G62:G67 H71:I71 D2:G2">
    <cfRule type="cellIs" dxfId="32" priority="90" operator="equal">
      <formula>0</formula>
    </cfRule>
  </conditionalFormatting>
  <conditionalFormatting sqref="H47:I50">
    <cfRule type="cellIs" dxfId="31" priority="89" operator="equal">
      <formula>0</formula>
    </cfRule>
  </conditionalFormatting>
  <conditionalFormatting sqref="I79:I84 I86:I88 I90:I96">
    <cfRule type="cellIs" dxfId="30" priority="88" operator="equal">
      <formula>0</formula>
    </cfRule>
  </conditionalFormatting>
  <conditionalFormatting sqref="H69:I69">
    <cfRule type="cellIs" dxfId="29" priority="72" operator="equal">
      <formula>0</formula>
    </cfRule>
  </conditionalFormatting>
  <conditionalFormatting sqref="G85 I85 E90:E97 E78:E88">
    <cfRule type="cellIs" dxfId="28" priority="75" operator="equal">
      <formula>0</formula>
    </cfRule>
  </conditionalFormatting>
  <conditionalFormatting sqref="G78:G84 G86:G88 G90:G97">
    <cfRule type="cellIs" dxfId="27" priority="74" operator="equal">
      <formula>0</formula>
    </cfRule>
  </conditionalFormatting>
  <conditionalFormatting sqref="I78">
    <cfRule type="cellIs" dxfId="26" priority="73" operator="equal">
      <formula>0</formula>
    </cfRule>
  </conditionalFormatting>
  <conditionalFormatting sqref="H98:I98">
    <cfRule type="cellIs" dxfId="25" priority="71" operator="equal">
      <formula>0</formula>
    </cfRule>
  </conditionalFormatting>
  <conditionalFormatting sqref="E98">
    <cfRule type="cellIs" dxfId="24" priority="70" operator="equal">
      <formula>0</formula>
    </cfRule>
  </conditionalFormatting>
  <conditionalFormatting sqref="G98">
    <cfRule type="cellIs" dxfId="23" priority="69" operator="equal">
      <formula>0</formula>
    </cfRule>
  </conditionalFormatting>
  <conditionalFormatting sqref="E74">
    <cfRule type="cellIs" dxfId="22" priority="68" operator="equal">
      <formula>0</formula>
    </cfRule>
  </conditionalFormatting>
  <conditionalFormatting sqref="H60:I60">
    <cfRule type="cellIs" dxfId="21" priority="62" operator="equal">
      <formula>0</formula>
    </cfRule>
  </conditionalFormatting>
  <conditionalFormatting sqref="F71">
    <cfRule type="cellIs" dxfId="20" priority="55" operator="equal">
      <formula>0</formula>
    </cfRule>
  </conditionalFormatting>
  <conditionalFormatting sqref="H78:H88 H90:H97">
    <cfRule type="cellIs" dxfId="19" priority="53" operator="equal">
      <formula>0</formula>
    </cfRule>
  </conditionalFormatting>
  <conditionalFormatting sqref="H90:L99 I1:L1 H2:L45 H47:L50 H52:L88 H109:L130 I101:I108 H132:L1048576 I131:L131 H100:I100 J100:L108 I51:L51 I46:L46">
    <cfRule type="cellIs" dxfId="18" priority="52" operator="equal">
      <formula>0</formula>
    </cfRule>
  </conditionalFormatting>
  <conditionalFormatting sqref="H89:L89">
    <cfRule type="cellIs" dxfId="17" priority="50" operator="equal">
      <formula>0</formula>
    </cfRule>
  </conditionalFormatting>
  <conditionalFormatting sqref="F1">
    <cfRule type="cellIs" dxfId="16" priority="44" operator="equal">
      <formula>0</formula>
    </cfRule>
  </conditionalFormatting>
  <conditionalFormatting sqref="F72">
    <cfRule type="cellIs" dxfId="15" priority="42" operator="equal">
      <formula>0</formula>
    </cfRule>
  </conditionalFormatting>
  <conditionalFormatting sqref="F72">
    <cfRule type="cellIs" dxfId="14" priority="41" operator="equal">
      <formula>0</formula>
    </cfRule>
  </conditionalFormatting>
  <conditionalFormatting sqref="F55:F57 F44:F45 F47:F50 F52:F53">
    <cfRule type="cellIs" dxfId="13" priority="39" operator="equal">
      <formula>0</formula>
    </cfRule>
  </conditionalFormatting>
  <conditionalFormatting sqref="F62:F66">
    <cfRule type="cellIs" dxfId="12" priority="38" operator="equal">
      <formula>0</formula>
    </cfRule>
  </conditionalFormatting>
  <conditionalFormatting sqref="F67">
    <cfRule type="cellIs" dxfId="11" priority="37" operator="equal">
      <formula>0</formula>
    </cfRule>
  </conditionalFormatting>
  <conditionalFormatting sqref="F85">
    <cfRule type="cellIs" dxfId="10" priority="36" operator="equal">
      <formula>0</formula>
    </cfRule>
  </conditionalFormatting>
  <conditionalFormatting sqref="F78:F84 F86:F88 F90:F97">
    <cfRule type="cellIs" dxfId="9" priority="35" operator="equal">
      <formula>0</formula>
    </cfRule>
  </conditionalFormatting>
  <conditionalFormatting sqref="F98">
    <cfRule type="cellIs" dxfId="8" priority="34" operator="equal">
      <formula>0</formula>
    </cfRule>
  </conditionalFormatting>
  <conditionalFormatting sqref="F60">
    <cfRule type="cellIs" dxfId="7" priority="26" operator="equal">
      <formula>0</formula>
    </cfRule>
  </conditionalFormatting>
  <conditionalFormatting sqref="F60">
    <cfRule type="cellIs" dxfId="6" priority="25" operator="equal">
      <formula>0</formula>
    </cfRule>
  </conditionalFormatting>
  <conditionalFormatting sqref="O2">
    <cfRule type="cellIs" dxfId="5" priority="22" operator="equal">
      <formula>0</formula>
    </cfRule>
  </conditionalFormatting>
  <conditionalFormatting sqref="O1">
    <cfRule type="cellIs" dxfId="4" priority="21" operator="equal">
      <formula>0</formula>
    </cfRule>
  </conditionalFormatting>
  <conditionalFormatting sqref="O3:O98">
    <cfRule type="cellIs" dxfId="3" priority="10" operator="equal">
      <formula>0</formula>
    </cfRule>
  </conditionalFormatting>
  <conditionalFormatting sqref="F5:F21">
    <cfRule type="cellIs" dxfId="2" priority="4" operator="equal">
      <formula>0</formula>
    </cfRule>
  </conditionalFormatting>
  <conditionalFormatting sqref="F25:F41">
    <cfRule type="cellIs" dxfId="1" priority="3" operator="equal">
      <formula>0</formula>
    </cfRule>
  </conditionalFormatting>
  <conditionalFormatting sqref="D5:D98">
    <cfRule type="cellIs" dxfId="0" priority="1" operator="equal">
      <formula>0</formula>
    </cfRule>
  </conditionalFormatting>
  <pageMargins left="0.35433070866141736" right="0.32062499999999999" top="0.59055118110236227" bottom="0.59055118110236227" header="0.31496062992125984" footer="0.31496062992125984"/>
  <pageSetup paperSize="9" scale="81" fitToHeight="2" orientation="landscape" horizontalDpi="1200" verticalDpi="1200" r:id="rId1"/>
  <rowBreaks count="3" manualBreakCount="3">
    <brk id="42" max="16383" man="1"/>
    <brk id="76" max="16383" man="1"/>
    <brk id="108" max="16383" man="1"/>
  </rowBreaks>
  <ignoredErrors>
    <ignoredError sqref="D111:M111 E113 G113 M117 M124 M139" unlockedFormula="1"/>
    <ignoredError sqref="J54"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vt:i4>
      </vt:variant>
    </vt:vector>
  </HeadingPairs>
  <TitlesOfParts>
    <vt:vector size="10" baseType="lpstr">
      <vt:lpstr>Pflegetaxe Budget</vt:lpstr>
      <vt:lpstr>Anlagek. Budget</vt:lpstr>
      <vt:lpstr>Pensionstaxe Budget</vt:lpstr>
      <vt:lpstr>Erfolgsrechnung</vt:lpstr>
      <vt:lpstr>Taxen</vt:lpstr>
      <vt:lpstr>Eingabedaten</vt:lpstr>
      <vt:lpstr>Vergleiche</vt:lpstr>
      <vt:lpstr>'Anlagek. Budget'!Druckbereich</vt:lpstr>
      <vt:lpstr>Eingabedaten!Druckbereich</vt:lpstr>
      <vt:lpstr>'Pflegetaxe Budget'!Druckbereich</vt:lpstr>
    </vt:vector>
  </TitlesOfParts>
  <Company>Kanton Zug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Tarifberechnung</dc:title>
  <dc:creator>Karl Widmer</dc:creator>
  <cp:lastModifiedBy>Bollinger Christian</cp:lastModifiedBy>
  <cp:lastPrinted>2019-05-01T11:47:43Z</cp:lastPrinted>
  <dcterms:created xsi:type="dcterms:W3CDTF">2007-05-16T07:50:59Z</dcterms:created>
  <dcterms:modified xsi:type="dcterms:W3CDTF">2023-06-09T10:16:13Z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1031	2055</vt:lpwstr>
  </property>
</Properties>
</file>