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meier\Desktop\"/>
    </mc:Choice>
  </mc:AlternateContent>
  <bookViews>
    <workbookView xWindow="0" yWindow="0" windowWidth="21570" windowHeight="7980" tabRatio="804"/>
  </bookViews>
  <sheets>
    <sheet name="Anleitung" sheetId="14" r:id="rId1"/>
    <sheet name="Kostenkalkulation" sheetId="7" r:id="rId2"/>
    <sheet name="kalkulierteBK" sheetId="11" r:id="rId3"/>
    <sheet name="laufendeBK" sheetId="9" r:id="rId4"/>
    <sheet name="AH1.1" sheetId="1" r:id="rId5"/>
    <sheet name="AH1.2" sheetId="2" r:id="rId6"/>
    <sheet name="AH1.3" sheetId="3" r:id="rId7"/>
    <sheet name="AH1.4" sheetId="13" r:id="rId8"/>
    <sheet name="AH2.0" sheetId="5" r:id="rId9"/>
    <sheet name="AH3.0" sheetId="6" r:id="rId10"/>
    <sheet name="AG" sheetId="8" r:id="rId11"/>
    <sheet name="Verbrauch" sheetId="10" r:id="rId12"/>
  </sheets>
  <externalReferences>
    <externalReference r:id="rId13"/>
  </externalReferences>
  <definedNames>
    <definedName name="Zinssatz">'[1]1.1'!$L$4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2" i="9" l="1"/>
  <c r="B23" i="9" s="1"/>
  <c r="B24" i="9" s="1"/>
  <c r="B25" i="9" s="1"/>
  <c r="B26" i="9" s="1"/>
  <c r="B27" i="9" s="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C22" i="9"/>
  <c r="D22" i="9"/>
  <c r="E22" i="9"/>
  <c r="E23" i="9" s="1"/>
  <c r="E24" i="9" s="1"/>
  <c r="E25" i="9" s="1"/>
  <c r="E26" i="9" s="1"/>
  <c r="E27" i="9" s="1"/>
  <c r="E28" i="9" s="1"/>
  <c r="E29" i="9" s="1"/>
  <c r="E30" i="9" s="1"/>
  <c r="E31" i="9" s="1"/>
  <c r="E32" i="9" s="1"/>
  <c r="E33" i="9" s="1"/>
  <c r="E34" i="9" s="1"/>
  <c r="E35" i="9" s="1"/>
  <c r="E36" i="9" s="1"/>
  <c r="E37" i="9" s="1"/>
  <c r="E38" i="9" s="1"/>
  <c r="E39" i="9" s="1"/>
  <c r="E40" i="9" s="1"/>
  <c r="E41" i="9" s="1"/>
  <c r="E42" i="9" s="1"/>
  <c r="E43" i="9" s="1"/>
  <c r="E44" i="9" s="1"/>
  <c r="E45" i="9" s="1"/>
  <c r="E46" i="9" s="1"/>
  <c r="E47" i="9" s="1"/>
  <c r="E48" i="9" s="1"/>
  <c r="E49" i="9" s="1"/>
  <c r="E50" i="9" s="1"/>
  <c r="E51" i="9" s="1"/>
  <c r="E52" i="9" s="1"/>
  <c r="E53" i="9" s="1"/>
  <c r="E54" i="9" s="1"/>
  <c r="E55" i="9" s="1"/>
  <c r="E56" i="9" s="1"/>
  <c r="E57" i="9" s="1"/>
  <c r="E58" i="9" s="1"/>
  <c r="E59" i="9" s="1"/>
  <c r="E60" i="9" s="1"/>
  <c r="E61" i="9" s="1"/>
  <c r="E62" i="9" s="1"/>
  <c r="E63" i="9" s="1"/>
  <c r="F22" i="9"/>
  <c r="F23" i="9" s="1"/>
  <c r="F24" i="9" s="1"/>
  <c r="F25" i="9" s="1"/>
  <c r="F26" i="9" s="1"/>
  <c r="F27" i="9" s="1"/>
  <c r="F28" i="9" s="1"/>
  <c r="F29" i="9" s="1"/>
  <c r="F30" i="9" s="1"/>
  <c r="F31" i="9" s="1"/>
  <c r="F32" i="9" s="1"/>
  <c r="F33" i="9" s="1"/>
  <c r="F34" i="9" s="1"/>
  <c r="F35" i="9" s="1"/>
  <c r="F36" i="9" s="1"/>
  <c r="F37" i="9" s="1"/>
  <c r="F38" i="9" s="1"/>
  <c r="F39" i="9" s="1"/>
  <c r="F40" i="9" s="1"/>
  <c r="F41" i="9" s="1"/>
  <c r="F42" i="9" s="1"/>
  <c r="F43" i="9" s="1"/>
  <c r="F44" i="9" s="1"/>
  <c r="F45" i="9" s="1"/>
  <c r="F46" i="9" s="1"/>
  <c r="F47" i="9" s="1"/>
  <c r="F48" i="9" s="1"/>
  <c r="F49" i="9" s="1"/>
  <c r="F50" i="9" s="1"/>
  <c r="F51" i="9" s="1"/>
  <c r="F52" i="9" s="1"/>
  <c r="F53" i="9" s="1"/>
  <c r="F54" i="9" s="1"/>
  <c r="F55" i="9" s="1"/>
  <c r="F56" i="9" s="1"/>
  <c r="F57" i="9" s="1"/>
  <c r="F58" i="9" s="1"/>
  <c r="F59" i="9" s="1"/>
  <c r="F60" i="9" s="1"/>
  <c r="F61" i="9" s="1"/>
  <c r="F62" i="9" s="1"/>
  <c r="F63" i="9" s="1"/>
  <c r="G22" i="9"/>
  <c r="C23" i="9"/>
  <c r="C24" i="9" s="1"/>
  <c r="C25" i="9" s="1"/>
  <c r="C26" i="9" s="1"/>
  <c r="C27" i="9" s="1"/>
  <c r="C28" i="9" s="1"/>
  <c r="C29" i="9" s="1"/>
  <c r="C30" i="9" s="1"/>
  <c r="C31" i="9" s="1"/>
  <c r="C32" i="9" s="1"/>
  <c r="C33" i="9" s="1"/>
  <c r="C34" i="9" s="1"/>
  <c r="C35" i="9" s="1"/>
  <c r="C36" i="9" s="1"/>
  <c r="C37" i="9" s="1"/>
  <c r="C38" i="9" s="1"/>
  <c r="C39" i="9" s="1"/>
  <c r="C40" i="9" s="1"/>
  <c r="D23" i="9"/>
  <c r="D24" i="9" s="1"/>
  <c r="D25" i="9" s="1"/>
  <c r="D26" i="9" s="1"/>
  <c r="D27" i="9" s="1"/>
  <c r="D28" i="9" s="1"/>
  <c r="D29" i="9" s="1"/>
  <c r="D30" i="9" s="1"/>
  <c r="D31" i="9" s="1"/>
  <c r="D32" i="9" s="1"/>
  <c r="D33" i="9" s="1"/>
  <c r="D34" i="9" s="1"/>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G23" i="9"/>
  <c r="G24" i="9" s="1"/>
  <c r="G25" i="9" s="1"/>
  <c r="G26" i="9" s="1"/>
  <c r="G27" i="9" s="1"/>
  <c r="G28" i="9" s="1"/>
  <c r="G29" i="9" s="1"/>
  <c r="G30" i="9" s="1"/>
  <c r="G31" i="9" s="1"/>
  <c r="G32" i="9" s="1"/>
  <c r="G33" i="9" s="1"/>
  <c r="G34" i="9" s="1"/>
  <c r="G35" i="9" s="1"/>
  <c r="G36" i="9" s="1"/>
  <c r="G37" i="9" s="1"/>
  <c r="G38" i="9" s="1"/>
  <c r="G39" i="9" s="1"/>
  <c r="G40" i="9" s="1"/>
  <c r="G41" i="9" s="1"/>
  <c r="G42" i="9" s="1"/>
  <c r="G43" i="9" s="1"/>
  <c r="G44" i="9" s="1"/>
  <c r="G45" i="9" s="1"/>
  <c r="G46" i="9" s="1"/>
  <c r="G47" i="9" s="1"/>
  <c r="G48" i="9" s="1"/>
  <c r="G49" i="9" s="1"/>
  <c r="G50" i="9" s="1"/>
  <c r="G51" i="9" s="1"/>
  <c r="G52" i="9" s="1"/>
  <c r="G53" i="9" s="1"/>
  <c r="G54" i="9" s="1"/>
  <c r="G55" i="9" s="1"/>
  <c r="G56" i="9" s="1"/>
  <c r="G57" i="9" s="1"/>
  <c r="G58" i="9" s="1"/>
  <c r="G59" i="9" s="1"/>
  <c r="G60" i="9" s="1"/>
  <c r="G61" i="9" s="1"/>
  <c r="G62" i="9" s="1"/>
  <c r="G63" i="9" s="1"/>
  <c r="C41" i="9"/>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D57" i="9"/>
  <c r="D58" i="9" s="1"/>
  <c r="D59" i="9" s="1"/>
  <c r="D60" i="9" s="1"/>
  <c r="D61" i="9" s="1"/>
  <c r="D62" i="9" s="1"/>
  <c r="D63" i="9" s="1"/>
  <c r="B16" i="9"/>
  <c r="B17" i="9" s="1"/>
  <c r="B18" i="9" s="1"/>
  <c r="B19" i="9" s="1"/>
  <c r="B20" i="9" s="1"/>
  <c r="B21" i="9" s="1"/>
  <c r="C16" i="9"/>
  <c r="C17" i="9" s="1"/>
  <c r="C18" i="9" s="1"/>
  <c r="C19" i="9" s="1"/>
  <c r="C20" i="9" s="1"/>
  <c r="C21" i="9" s="1"/>
  <c r="D16" i="9"/>
  <c r="E16" i="9"/>
  <c r="F16" i="9"/>
  <c r="F17" i="9" s="1"/>
  <c r="F18" i="9" s="1"/>
  <c r="F19" i="9" s="1"/>
  <c r="F20" i="9" s="1"/>
  <c r="F21" i="9" s="1"/>
  <c r="G16" i="9"/>
  <c r="G17" i="9" s="1"/>
  <c r="G18" i="9" s="1"/>
  <c r="G19" i="9" s="1"/>
  <c r="G20" i="9" s="1"/>
  <c r="G21" i="9" s="1"/>
  <c r="D17" i="9"/>
  <c r="D18" i="9" s="1"/>
  <c r="D19" i="9" s="1"/>
  <c r="D20" i="9" s="1"/>
  <c r="D21" i="9" s="1"/>
  <c r="E17" i="9"/>
  <c r="E18" i="9" s="1"/>
  <c r="E19" i="9" s="1"/>
  <c r="E20" i="9" s="1"/>
  <c r="E21" i="9" s="1"/>
  <c r="G15" i="9"/>
  <c r="F15" i="9"/>
  <c r="E15" i="9"/>
  <c r="D15" i="9"/>
  <c r="C15" i="9"/>
  <c r="B15" i="9"/>
  <c r="E16" i="3" l="1"/>
  <c r="E23" i="1"/>
  <c r="F9" i="11"/>
  <c r="E24" i="11"/>
  <c r="F7" i="11"/>
  <c r="D5" i="5"/>
  <c r="F53" i="7"/>
  <c r="F54" i="7"/>
  <c r="F49" i="7"/>
  <c r="F37" i="1"/>
  <c r="F24" i="7"/>
  <c r="F46" i="7"/>
  <c r="F48" i="7"/>
  <c r="D2" i="3"/>
  <c r="F2" i="1"/>
  <c r="F8" i="1" s="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18" i="11"/>
  <c r="E19" i="11"/>
  <c r="E20" i="11"/>
  <c r="E21" i="11"/>
  <c r="E22" i="11"/>
  <c r="E23" i="11"/>
  <c r="B10" i="11"/>
  <c r="B6" i="11"/>
  <c r="C6" i="11" s="1"/>
  <c r="B7" i="11"/>
  <c r="C7" i="11" s="1"/>
  <c r="B8" i="11"/>
  <c r="C8" i="11" s="1"/>
  <c r="B9" i="11"/>
  <c r="C9" i="11" s="1"/>
  <c r="B5" i="11"/>
  <c r="C5" i="11" s="1"/>
  <c r="B12" i="11"/>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14" i="9"/>
  <c r="F56" i="7" l="1"/>
  <c r="G40" i="7" s="1"/>
  <c r="A9" i="11" l="1"/>
  <c r="A8" i="11" s="1"/>
  <c r="A7" i="11" s="1"/>
  <c r="A6" i="11" s="1"/>
  <c r="A5" i="11" s="1"/>
  <c r="A12" i="11"/>
  <c r="A10" i="9"/>
  <c r="A9" i="9" s="1"/>
  <c r="A8" i="9" s="1"/>
  <c r="A7" i="9" s="1"/>
  <c r="A6" i="9" s="1"/>
  <c r="A11" i="9"/>
  <c r="A12" i="9" s="1"/>
  <c r="A15" i="9" s="1"/>
  <c r="A16" i="9" s="1"/>
  <c r="A17" i="9" s="1"/>
  <c r="A18" i="9" s="1"/>
  <c r="A19" i="9" s="1"/>
  <c r="A20" i="9" s="1"/>
  <c r="A21" i="9" s="1"/>
  <c r="A22" i="9" s="1"/>
  <c r="A23" i="9" s="1"/>
  <c r="A24" i="9" s="1"/>
  <c r="H6" i="9"/>
  <c r="A13" i="11" l="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8" i="10"/>
  <c r="A7" i="10" s="1"/>
  <c r="A6" i="10" s="1"/>
  <c r="A5" i="10" s="1"/>
  <c r="A4" i="10" s="1"/>
  <c r="A9" i="10"/>
  <c r="A12" i="10"/>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11" i="10"/>
  <c r="A10" i="10"/>
  <c r="A18" i="8"/>
  <c r="A17" i="8" s="1"/>
  <c r="A16" i="8" s="1"/>
  <c r="A15" i="8" s="1"/>
  <c r="A14" i="8" s="1"/>
  <c r="A13" i="8" s="1"/>
  <c r="A12" i="8" s="1"/>
  <c r="A11" i="8" s="1"/>
  <c r="A10" i="8" s="1"/>
  <c r="A9" i="8" s="1"/>
  <c r="A8" i="8" s="1"/>
  <c r="A7" i="8" s="1"/>
  <c r="A6" i="8" s="1"/>
  <c r="A19" i="8"/>
  <c r="A22" i="8"/>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21" i="8"/>
  <c r="A20" i="8"/>
  <c r="A88" i="1"/>
  <c r="A87" i="1" s="1"/>
  <c r="A86" i="1" s="1"/>
  <c r="A85" i="1" s="1"/>
  <c r="A84" i="1" s="1"/>
  <c r="A83" i="1" s="1"/>
  <c r="A82" i="1" s="1"/>
  <c r="A81" i="1" s="1"/>
  <c r="A80" i="1" s="1"/>
  <c r="A79" i="1" s="1"/>
  <c r="A78" i="1" s="1"/>
  <c r="A77" i="1" s="1"/>
  <c r="A76" i="1" s="1"/>
  <c r="A75" i="1" s="1"/>
  <c r="A74" i="1" s="1"/>
  <c r="A73" i="1" s="1"/>
  <c r="A72" i="1" s="1"/>
  <c r="A71" i="1" s="1"/>
  <c r="A70" i="1" s="1"/>
  <c r="A69" i="1" s="1"/>
  <c r="A68" i="1" s="1"/>
  <c r="A67" i="1" s="1"/>
  <c r="A66" i="1" s="1"/>
  <c r="A65" i="1" s="1"/>
  <c r="A64" i="1" s="1"/>
  <c r="A63" i="1" s="1"/>
  <c r="A62" i="1" s="1"/>
  <c r="A61" i="1" s="1"/>
  <c r="A60" i="1" s="1"/>
  <c r="A59" i="1" s="1"/>
  <c r="A58" i="1" s="1"/>
  <c r="A57" i="1" s="1"/>
  <c r="A56" i="1" s="1"/>
  <c r="A55" i="1" s="1"/>
  <c r="A54" i="1" s="1"/>
  <c r="A53" i="1" s="1"/>
  <c r="A52" i="1" s="1"/>
  <c r="A51" i="1" s="1"/>
  <c r="A50" i="1" s="1"/>
  <c r="A49" i="1" s="1"/>
  <c r="A48" i="1" s="1"/>
  <c r="A47" i="1" s="1"/>
  <c r="A46" i="1" s="1"/>
  <c r="A45" i="1" s="1"/>
  <c r="A44" i="1" s="1"/>
  <c r="A43" i="1" s="1"/>
  <c r="A42" i="1" s="1"/>
  <c r="A41" i="1" s="1"/>
  <c r="A40" i="1" s="1"/>
  <c r="A39" i="1" s="1"/>
  <c r="A38" i="1" s="1"/>
  <c r="A37" i="1" s="1"/>
  <c r="A36" i="1" s="1"/>
  <c r="A35" i="1" s="1"/>
  <c r="A34" i="1" s="1"/>
  <c r="A33" i="1" s="1"/>
  <c r="A32" i="1" s="1"/>
  <c r="A31" i="1" s="1"/>
  <c r="A30" i="1" s="1"/>
  <c r="A29" i="1" s="1"/>
  <c r="A28" i="1" s="1"/>
  <c r="A27" i="1" s="1"/>
  <c r="A26" i="1" s="1"/>
  <c r="A25" i="1" s="1"/>
  <c r="A24" i="1" s="1"/>
  <c r="A23" i="1" s="1"/>
  <c r="A22" i="1" s="1"/>
  <c r="A21" i="1" s="1"/>
  <c r="A20" i="1" s="1"/>
  <c r="A19" i="1" s="1"/>
  <c r="A18" i="1" s="1"/>
  <c r="A17" i="1" s="1"/>
  <c r="A16" i="1" s="1"/>
  <c r="A15" i="1" s="1"/>
  <c r="A14" i="1" s="1"/>
  <c r="A13" i="1" s="1"/>
  <c r="A12" i="1" s="1"/>
  <c r="A11" i="1" s="1"/>
  <c r="A10" i="1" s="1"/>
  <c r="A9" i="1" s="1"/>
  <c r="A8" i="1" s="1"/>
  <c r="A7" i="1" s="1"/>
  <c r="A6" i="1" s="1"/>
  <c r="A5" i="1" s="1"/>
  <c r="A89" i="1"/>
  <c r="A90" i="1"/>
  <c r="A81" i="2"/>
  <c r="A80" i="2" s="1"/>
  <c r="A79" i="2" s="1"/>
  <c r="A78" i="2" s="1"/>
  <c r="A77" i="2" s="1"/>
  <c r="A76" i="2" s="1"/>
  <c r="A75" i="2" s="1"/>
  <c r="A74" i="2" s="1"/>
  <c r="A73" i="2" s="1"/>
  <c r="A72" i="2" s="1"/>
  <c r="A71" i="2" s="1"/>
  <c r="A70" i="2" s="1"/>
  <c r="A69" i="2" s="1"/>
  <c r="A68" i="2" s="1"/>
  <c r="A67" i="2" s="1"/>
  <c r="A66" i="2" s="1"/>
  <c r="A65" i="2" s="1"/>
  <c r="A64" i="2" s="1"/>
  <c r="A63" i="2" s="1"/>
  <c r="A62" i="2" s="1"/>
  <c r="A61" i="2" s="1"/>
  <c r="A60" i="2" s="1"/>
  <c r="A59" i="2" s="1"/>
  <c r="A58" i="2" s="1"/>
  <c r="A57" i="2" s="1"/>
  <c r="A56" i="2" s="1"/>
  <c r="A55" i="2" s="1"/>
  <c r="A54" i="2" s="1"/>
  <c r="A53" i="2" s="1"/>
  <c r="A52" i="2" s="1"/>
  <c r="A51" i="2" s="1"/>
  <c r="A50" i="2" s="1"/>
  <c r="A49" i="2" s="1"/>
  <c r="A48" i="2" s="1"/>
  <c r="A47" i="2" s="1"/>
  <c r="A46" i="2" s="1"/>
  <c r="A45" i="2" s="1"/>
  <c r="A44" i="2" s="1"/>
  <c r="A43" i="2" s="1"/>
  <c r="A42" i="2" s="1"/>
  <c r="A41" i="2" s="1"/>
  <c r="A40" i="2" s="1"/>
  <c r="A39" i="2" s="1"/>
  <c r="A38" i="2" s="1"/>
  <c r="A37" i="2" s="1"/>
  <c r="A36" i="2" s="1"/>
  <c r="A35" i="2" s="1"/>
  <c r="A34" i="2" s="1"/>
  <c r="A33" i="2" s="1"/>
  <c r="A32" i="2" s="1"/>
  <c r="A31" i="2" s="1"/>
  <c r="A30" i="2" s="1"/>
  <c r="A29" i="2" s="1"/>
  <c r="A28" i="2" s="1"/>
  <c r="A27" i="2" s="1"/>
  <c r="A26" i="2" s="1"/>
  <c r="A25" i="2" s="1"/>
  <c r="A24" i="2" s="1"/>
  <c r="A23" i="2" s="1"/>
  <c r="A22" i="2" s="1"/>
  <c r="A21" i="2" s="1"/>
  <c r="A20" i="2" s="1"/>
  <c r="A19" i="2" s="1"/>
  <c r="A18" i="2" s="1"/>
  <c r="A17" i="2" s="1"/>
  <c r="A16" i="2" s="1"/>
  <c r="A15" i="2" s="1"/>
  <c r="A14" i="2" s="1"/>
  <c r="A13" i="2" s="1"/>
  <c r="A12" i="2" s="1"/>
  <c r="A11" i="2" s="1"/>
  <c r="A10" i="2" s="1"/>
  <c r="A9" i="2" s="1"/>
  <c r="A8" i="2" s="1"/>
  <c r="A7" i="2" s="1"/>
  <c r="A6" i="2" s="1"/>
  <c r="A5" i="2" s="1"/>
  <c r="A88" i="2"/>
  <c r="A87" i="2" s="1"/>
  <c r="A86" i="2" s="1"/>
  <c r="A85" i="2" s="1"/>
  <c r="A84" i="2" s="1"/>
  <c r="A83" i="2" s="1"/>
  <c r="A82" i="2" s="1"/>
  <c r="A89" i="2"/>
  <c r="A90" i="2"/>
  <c r="F2" i="2" l="1"/>
  <c r="F5" i="2" s="1"/>
  <c r="F10" i="2"/>
  <c r="F33" i="2"/>
  <c r="F34" i="2"/>
  <c r="F49" i="2"/>
  <c r="F50" i="2"/>
  <c r="F65" i="2"/>
  <c r="F66" i="2"/>
  <c r="F73" i="2"/>
  <c r="F74" i="2"/>
  <c r="F81" i="2"/>
  <c r="F82" i="2"/>
  <c r="F89" i="2"/>
  <c r="C3" i="8"/>
  <c r="E21" i="8" s="1"/>
  <c r="B11" i="10"/>
  <c r="F6" i="1"/>
  <c r="F36" i="1"/>
  <c r="F44" i="1"/>
  <c r="F2" i="6"/>
  <c r="F6" i="6" s="1"/>
  <c r="F7" i="3"/>
  <c r="F25" i="3"/>
  <c r="F49" i="3"/>
  <c r="F57" i="3"/>
  <c r="F65" i="3"/>
  <c r="E10" i="11"/>
  <c r="B12" i="10"/>
  <c r="B13" i="10"/>
  <c r="B14" i="10" s="1"/>
  <c r="C24" i="7"/>
  <c r="H2"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H2" i="2"/>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F29" i="7"/>
  <c r="H2" i="6"/>
  <c r="G6" i="6" s="1"/>
  <c r="G8" i="6"/>
  <c r="G12" i="6"/>
  <c r="G13" i="6"/>
  <c r="G14" i="6"/>
  <c r="G15" i="6"/>
  <c r="G16" i="6"/>
  <c r="G17" i="6"/>
  <c r="G18" i="6"/>
  <c r="G19" i="6"/>
  <c r="F2" i="3"/>
  <c r="E5" i="3"/>
  <c r="E6" i="3"/>
  <c r="E7" i="3"/>
  <c r="E8" i="3"/>
  <c r="E9" i="3"/>
  <c r="E10" i="3"/>
  <c r="E11" i="3"/>
  <c r="E12" i="3"/>
  <c r="E13" i="3"/>
  <c r="E14" i="3"/>
  <c r="E15"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3"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C3" i="13"/>
  <c r="F7" i="5"/>
  <c r="F33" i="7"/>
  <c r="F36" i="7" s="1"/>
  <c r="F34" i="7"/>
  <c r="F35" i="7"/>
  <c r="G4" i="7"/>
  <c r="D6" i="5"/>
  <c r="D3" i="6"/>
  <c r="H7" i="7" s="1"/>
  <c r="G10" i="6"/>
  <c r="H10" i="6" s="1"/>
  <c r="D3" i="3"/>
  <c r="B3"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F90" i="2"/>
  <c r="H90" i="2" s="1"/>
  <c r="G90" i="2"/>
  <c r="E31" i="2"/>
  <c r="E32" i="2"/>
  <c r="E33" i="2"/>
  <c r="E34" i="2"/>
  <c r="E35" i="2"/>
  <c r="E36" i="2"/>
  <c r="E37" i="2"/>
  <c r="E38" i="2"/>
  <c r="E39" i="2"/>
  <c r="E40" i="2"/>
  <c r="E41" i="2"/>
  <c r="E42" i="2"/>
  <c r="B3" i="1"/>
  <c r="C3" i="1"/>
  <c r="H4" i="7" s="1"/>
  <c r="E66" i="1"/>
  <c r="E67" i="1"/>
  <c r="E68" i="1"/>
  <c r="E69" i="1"/>
  <c r="E70" i="1"/>
  <c r="E71" i="1"/>
  <c r="E72" i="1"/>
  <c r="E73" i="1"/>
  <c r="E74" i="1"/>
  <c r="E75" i="1"/>
  <c r="E76" i="1"/>
  <c r="E77" i="1"/>
  <c r="E78" i="1"/>
  <c r="E79" i="1"/>
  <c r="E80" i="1"/>
  <c r="E81" i="1"/>
  <c r="E82" i="1"/>
  <c r="E83" i="1"/>
  <c r="E84" i="1"/>
  <c r="E85" i="1"/>
  <c r="E86" i="1"/>
  <c r="E87" i="1"/>
  <c r="E88" i="1"/>
  <c r="E89" i="1"/>
  <c r="E90" i="1"/>
  <c r="E58" i="1"/>
  <c r="E59" i="1"/>
  <c r="E60" i="1"/>
  <c r="E61" i="1"/>
  <c r="E62" i="1"/>
  <c r="E63" i="1"/>
  <c r="E64" i="1"/>
  <c r="E65" i="1"/>
  <c r="E34" i="1"/>
  <c r="E35" i="1"/>
  <c r="E36" i="1"/>
  <c r="E37" i="1"/>
  <c r="E38" i="1"/>
  <c r="E39" i="1"/>
  <c r="E40" i="1"/>
  <c r="E41" i="1"/>
  <c r="E42" i="1"/>
  <c r="E43" i="1"/>
  <c r="E44" i="1"/>
  <c r="E45" i="1"/>
  <c r="E46" i="1"/>
  <c r="E47" i="1"/>
  <c r="E48" i="1"/>
  <c r="E49" i="1"/>
  <c r="E50" i="1"/>
  <c r="E51" i="1"/>
  <c r="E52" i="1"/>
  <c r="E53" i="1"/>
  <c r="E54" i="1"/>
  <c r="E55" i="1"/>
  <c r="E56" i="1"/>
  <c r="E57" i="1"/>
  <c r="E24" i="1"/>
  <c r="E25" i="1"/>
  <c r="E26" i="1"/>
  <c r="E27" i="1"/>
  <c r="E28" i="1"/>
  <c r="E29" i="1"/>
  <c r="E30" i="1"/>
  <c r="E31" i="1"/>
  <c r="E32" i="1"/>
  <c r="E33" i="1"/>
  <c r="E13" i="11"/>
  <c r="H7" i="9"/>
  <c r="E6" i="11"/>
  <c r="E5" i="11"/>
  <c r="F5" i="11" s="1"/>
  <c r="H11" i="9"/>
  <c r="H10" i="9"/>
  <c r="H12" i="9"/>
  <c r="H9" i="9"/>
  <c r="H8" i="9"/>
  <c r="E12" i="11"/>
  <c r="D7" i="5"/>
  <c r="H6" i="7" s="1"/>
  <c r="G14" i="9"/>
  <c r="F14" i="9"/>
  <c r="E14" i="9"/>
  <c r="D14" i="9"/>
  <c r="C14" i="9"/>
  <c r="B14" i="9"/>
  <c r="E7" i="5"/>
  <c r="C7" i="5"/>
  <c r="B7" i="5"/>
  <c r="E17" i="1"/>
  <c r="E18" i="1"/>
  <c r="E19" i="1"/>
  <c r="E20" i="1"/>
  <c r="E21" i="1"/>
  <c r="E22" i="1"/>
  <c r="E16" i="1"/>
  <c r="E15" i="1"/>
  <c r="E14" i="1"/>
  <c r="E13" i="1"/>
  <c r="E12" i="1"/>
  <c r="E11" i="1"/>
  <c r="E10" i="1"/>
  <c r="E9" i="1"/>
  <c r="E8" i="1"/>
  <c r="E7" i="1"/>
  <c r="E6" i="1"/>
  <c r="E5" i="1"/>
  <c r="E30" i="2"/>
  <c r="E29" i="2"/>
  <c r="E28" i="2"/>
  <c r="E18" i="2"/>
  <c r="E19" i="2"/>
  <c r="E20" i="2"/>
  <c r="E21" i="2"/>
  <c r="E22" i="2"/>
  <c r="E23" i="2"/>
  <c r="E24" i="2"/>
  <c r="E25" i="2"/>
  <c r="E26" i="2"/>
  <c r="E27" i="2"/>
  <c r="E6" i="2"/>
  <c r="E7" i="2"/>
  <c r="E8" i="2"/>
  <c r="E9" i="2"/>
  <c r="E10" i="2"/>
  <c r="E11" i="2"/>
  <c r="E12" i="2"/>
  <c r="E13" i="2"/>
  <c r="E14" i="2"/>
  <c r="E15" i="2"/>
  <c r="E16" i="2"/>
  <c r="E17" i="2"/>
  <c r="E5" i="2"/>
  <c r="E14" i="11"/>
  <c r="E7" i="11"/>
  <c r="E8" i="11"/>
  <c r="E9" i="11"/>
  <c r="F8" i="11" l="1"/>
  <c r="B15" i="10"/>
  <c r="E16" i="11"/>
  <c r="E15" i="11"/>
  <c r="H14" i="9"/>
  <c r="F6" i="11"/>
  <c r="H6" i="6"/>
  <c r="F10" i="6"/>
  <c r="G7" i="6"/>
  <c r="G5" i="6"/>
  <c r="G11" i="6"/>
  <c r="F86" i="2"/>
  <c r="F78" i="2"/>
  <c r="F70" i="2"/>
  <c r="H70" i="2" s="1"/>
  <c r="F58" i="2"/>
  <c r="H58" i="2" s="1"/>
  <c r="F42" i="2"/>
  <c r="F21" i="2"/>
  <c r="F41" i="3"/>
  <c r="F68" i="1"/>
  <c r="F85" i="2"/>
  <c r="F77" i="2"/>
  <c r="F69" i="2"/>
  <c r="H69" i="2" s="1"/>
  <c r="F57" i="2"/>
  <c r="F41" i="2"/>
  <c r="F20" i="2"/>
  <c r="H20" i="2"/>
  <c r="F62" i="3"/>
  <c r="F54" i="3"/>
  <c r="F46" i="3"/>
  <c r="F35" i="3"/>
  <c r="F16" i="3"/>
  <c r="F69" i="3"/>
  <c r="F61" i="3"/>
  <c r="F53" i="3"/>
  <c r="F45" i="3"/>
  <c r="F34" i="3"/>
  <c r="F14" i="3"/>
  <c r="F76" i="1"/>
  <c r="H76" i="1" s="1"/>
  <c r="F12" i="1"/>
  <c r="H12" i="1" s="1"/>
  <c r="F66" i="3"/>
  <c r="F58" i="3"/>
  <c r="F50" i="3"/>
  <c r="F42" i="3"/>
  <c r="F26" i="3"/>
  <c r="F5" i="3"/>
  <c r="F68" i="3"/>
  <c r="F64" i="3"/>
  <c r="F60" i="3"/>
  <c r="F56" i="3"/>
  <c r="F52" i="3"/>
  <c r="F48" i="3"/>
  <c r="F44" i="3"/>
  <c r="F39" i="3"/>
  <c r="F31" i="3"/>
  <c r="F21" i="3"/>
  <c r="F10" i="3"/>
  <c r="F60" i="1"/>
  <c r="H60" i="1" s="1"/>
  <c r="F28" i="1"/>
  <c r="H28" i="1" s="1"/>
  <c r="E55" i="8"/>
  <c r="F88" i="2"/>
  <c r="H88" i="2" s="1"/>
  <c r="F84" i="2"/>
  <c r="H84" i="2" s="1"/>
  <c r="F80" i="2"/>
  <c r="H80" i="2" s="1"/>
  <c r="F76" i="2"/>
  <c r="H76" i="2" s="1"/>
  <c r="F72" i="2"/>
  <c r="H72" i="2" s="1"/>
  <c r="F68" i="2"/>
  <c r="H68" i="2" s="1"/>
  <c r="F62" i="2"/>
  <c r="H62" i="2" s="1"/>
  <c r="F54" i="2"/>
  <c r="H54" i="2" s="1"/>
  <c r="F46" i="2"/>
  <c r="H46" i="2" s="1"/>
  <c r="F38" i="2"/>
  <c r="F29" i="2"/>
  <c r="H29" i="2" s="1"/>
  <c r="F13" i="2"/>
  <c r="H13" i="2" s="1"/>
  <c r="E69" i="8"/>
  <c r="E65" i="8"/>
  <c r="E61" i="8"/>
  <c r="E57" i="8"/>
  <c r="E53" i="8"/>
  <c r="E49" i="8"/>
  <c r="E45" i="8"/>
  <c r="E41" i="8"/>
  <c r="E37" i="8"/>
  <c r="E33" i="8"/>
  <c r="E29" i="8"/>
  <c r="E25" i="8"/>
  <c r="H44" i="1"/>
  <c r="H36" i="1"/>
  <c r="F67" i="3"/>
  <c r="F63" i="3"/>
  <c r="F59" i="3"/>
  <c r="F55" i="3"/>
  <c r="F51" i="3"/>
  <c r="F47" i="3"/>
  <c r="F43" i="3"/>
  <c r="F38" i="3"/>
  <c r="F30" i="3"/>
  <c r="F20" i="3"/>
  <c r="F9" i="3"/>
  <c r="F84" i="1"/>
  <c r="H84" i="1" s="1"/>
  <c r="F52" i="1"/>
  <c r="H52" i="1" s="1"/>
  <c r="F20" i="1"/>
  <c r="H20" i="1" s="1"/>
  <c r="F87" i="2"/>
  <c r="H87" i="2" s="1"/>
  <c r="F83" i="2"/>
  <c r="H83" i="2" s="1"/>
  <c r="F79" i="2"/>
  <c r="H79" i="2" s="1"/>
  <c r="F75" i="2"/>
  <c r="H75" i="2" s="1"/>
  <c r="F71" i="2"/>
  <c r="H71" i="2" s="1"/>
  <c r="F67" i="2"/>
  <c r="H67" i="2" s="1"/>
  <c r="F61" i="2"/>
  <c r="H61" i="2" s="1"/>
  <c r="F53" i="2"/>
  <c r="F45" i="2"/>
  <c r="H45" i="2" s="1"/>
  <c r="F37" i="2"/>
  <c r="F28" i="2"/>
  <c r="H28" i="2" s="1"/>
  <c r="F12" i="2"/>
  <c r="H12" i="2" s="1"/>
  <c r="E68" i="8"/>
  <c r="E56" i="8"/>
  <c r="E52" i="8"/>
  <c r="E44" i="8"/>
  <c r="E40" i="8"/>
  <c r="E36" i="8"/>
  <c r="E28" i="8"/>
  <c r="F89" i="1"/>
  <c r="H89" i="1" s="1"/>
  <c r="F81" i="1"/>
  <c r="F73" i="1"/>
  <c r="H73" i="1" s="1"/>
  <c r="F65" i="1"/>
  <c r="F57" i="1"/>
  <c r="H57" i="1" s="1"/>
  <c r="F49" i="1"/>
  <c r="F41" i="1"/>
  <c r="H41" i="1" s="1"/>
  <c r="F33" i="1"/>
  <c r="F25" i="1"/>
  <c r="H25" i="1" s="1"/>
  <c r="F17" i="1"/>
  <c r="F9" i="1"/>
  <c r="H9" i="1" s="1"/>
  <c r="E67" i="8"/>
  <c r="E47" i="8"/>
  <c r="E27" i="8"/>
  <c r="E64" i="8"/>
  <c r="E32" i="8"/>
  <c r="E23" i="8"/>
  <c r="F37" i="3"/>
  <c r="F33" i="3"/>
  <c r="F29" i="3"/>
  <c r="F24" i="3"/>
  <c r="F18" i="3"/>
  <c r="F13" i="3"/>
  <c r="F8" i="3"/>
  <c r="F18" i="6"/>
  <c r="H18" i="6" s="1"/>
  <c r="F88" i="1"/>
  <c r="H88" i="1" s="1"/>
  <c r="F80" i="1"/>
  <c r="H80" i="1" s="1"/>
  <c r="F72" i="1"/>
  <c r="F64" i="1"/>
  <c r="H64" i="1" s="1"/>
  <c r="F56" i="1"/>
  <c r="H56" i="1" s="1"/>
  <c r="F48" i="1"/>
  <c r="H48" i="1" s="1"/>
  <c r="F40" i="1"/>
  <c r="H40" i="1" s="1"/>
  <c r="F32" i="1"/>
  <c r="H32" i="1" s="1"/>
  <c r="F24" i="1"/>
  <c r="H24" i="1" s="1"/>
  <c r="F16" i="1"/>
  <c r="H16" i="1" s="1"/>
  <c r="E63" i="8"/>
  <c r="E43" i="8"/>
  <c r="E22" i="8"/>
  <c r="F64" i="2"/>
  <c r="H64" i="2" s="1"/>
  <c r="F60" i="2"/>
  <c r="H60" i="2" s="1"/>
  <c r="F56" i="2"/>
  <c r="H56" i="2" s="1"/>
  <c r="F52" i="2"/>
  <c r="H52" i="2" s="1"/>
  <c r="F48" i="2"/>
  <c r="H48" i="2" s="1"/>
  <c r="F44" i="2"/>
  <c r="H44" i="2" s="1"/>
  <c r="F40" i="2"/>
  <c r="H40" i="2" s="1"/>
  <c r="F36" i="2"/>
  <c r="H36" i="2" s="1"/>
  <c r="F32" i="2"/>
  <c r="H32" i="2" s="1"/>
  <c r="F25" i="2"/>
  <c r="H25" i="2" s="1"/>
  <c r="F17" i="2"/>
  <c r="H17" i="2" s="1"/>
  <c r="F8" i="2"/>
  <c r="H8" i="2" s="1"/>
  <c r="H8" i="1"/>
  <c r="E31" i="8"/>
  <c r="E60" i="8"/>
  <c r="E48" i="8"/>
  <c r="E24" i="8"/>
  <c r="E70" i="8"/>
  <c r="E66" i="8"/>
  <c r="E62" i="8"/>
  <c r="E58" i="8"/>
  <c r="E54" i="8"/>
  <c r="E50" i="8"/>
  <c r="E46" i="8"/>
  <c r="E42" i="8"/>
  <c r="E38" i="8"/>
  <c r="E34" i="8"/>
  <c r="E30" i="8"/>
  <c r="E26" i="8"/>
  <c r="H86" i="2"/>
  <c r="H82" i="2"/>
  <c r="H78" i="2"/>
  <c r="H74" i="2"/>
  <c r="H66" i="2"/>
  <c r="H50" i="2"/>
  <c r="H42" i="2"/>
  <c r="H38" i="2"/>
  <c r="H34" i="2"/>
  <c r="F40" i="3"/>
  <c r="F36" i="3"/>
  <c r="F32" i="3"/>
  <c r="F28" i="3"/>
  <c r="F22" i="3"/>
  <c r="F17" i="3"/>
  <c r="F12" i="3"/>
  <c r="F6" i="3"/>
  <c r="F17" i="6"/>
  <c r="H17" i="6" s="1"/>
  <c r="F85" i="1"/>
  <c r="F77" i="1"/>
  <c r="H77" i="1" s="1"/>
  <c r="F69" i="1"/>
  <c r="H69" i="1" s="1"/>
  <c r="F61" i="1"/>
  <c r="H61" i="1" s="1"/>
  <c r="F53" i="1"/>
  <c r="F45" i="1"/>
  <c r="H45" i="1" s="1"/>
  <c r="H37" i="1"/>
  <c r="F29" i="1"/>
  <c r="H29" i="1" s="1"/>
  <c r="F21" i="1"/>
  <c r="F13" i="1"/>
  <c r="H13" i="1" s="1"/>
  <c r="F5" i="1"/>
  <c r="H5" i="1" s="1"/>
  <c r="E59" i="8"/>
  <c r="E39" i="8"/>
  <c r="F63" i="2"/>
  <c r="H63" i="2" s="1"/>
  <c r="F59" i="2"/>
  <c r="H59" i="2" s="1"/>
  <c r="F55" i="2"/>
  <c r="H55" i="2" s="1"/>
  <c r="F51" i="2"/>
  <c r="H51" i="2" s="1"/>
  <c r="F47" i="2"/>
  <c r="H47" i="2" s="1"/>
  <c r="F43" i="2"/>
  <c r="H43" i="2" s="1"/>
  <c r="F39" i="2"/>
  <c r="H39" i="2" s="1"/>
  <c r="F35" i="2"/>
  <c r="H35" i="2" s="1"/>
  <c r="F31" i="2"/>
  <c r="H31" i="2" s="1"/>
  <c r="F24" i="2"/>
  <c r="H24" i="2" s="1"/>
  <c r="F16" i="2"/>
  <c r="H16" i="2" s="1"/>
  <c r="F7" i="2"/>
  <c r="H7" i="2" s="1"/>
  <c r="H10" i="2"/>
  <c r="H85" i="1"/>
  <c r="H81" i="1"/>
  <c r="H65" i="1"/>
  <c r="H53" i="1"/>
  <c r="H49" i="1"/>
  <c r="H33" i="1"/>
  <c r="H21" i="1"/>
  <c r="H17" i="1"/>
  <c r="F87" i="1"/>
  <c r="H87" i="1" s="1"/>
  <c r="F83" i="1"/>
  <c r="F79" i="1"/>
  <c r="H79" i="1" s="1"/>
  <c r="F75" i="1"/>
  <c r="H75" i="1" s="1"/>
  <c r="F71" i="1"/>
  <c r="H71" i="1" s="1"/>
  <c r="F67" i="1"/>
  <c r="H67" i="1" s="1"/>
  <c r="F63" i="1"/>
  <c r="H63" i="1" s="1"/>
  <c r="F59" i="1"/>
  <c r="F55" i="1"/>
  <c r="H55" i="1" s="1"/>
  <c r="F51" i="1"/>
  <c r="H51" i="1" s="1"/>
  <c r="F47" i="1"/>
  <c r="H47" i="1" s="1"/>
  <c r="F43" i="1"/>
  <c r="H43" i="1" s="1"/>
  <c r="F39" i="1"/>
  <c r="H39" i="1" s="1"/>
  <c r="F35" i="1"/>
  <c r="H35" i="1" s="1"/>
  <c r="F31" i="1"/>
  <c r="H31" i="1" s="1"/>
  <c r="F27" i="1"/>
  <c r="H27" i="1" s="1"/>
  <c r="F23" i="1"/>
  <c r="H23" i="1" s="1"/>
  <c r="F19" i="1"/>
  <c r="H19" i="1" s="1"/>
  <c r="F15" i="1"/>
  <c r="H15" i="1" s="1"/>
  <c r="F11" i="1"/>
  <c r="H11" i="1" s="1"/>
  <c r="F7" i="1"/>
  <c r="H7" i="1" s="1"/>
  <c r="E51" i="8"/>
  <c r="E35" i="8"/>
  <c r="F27" i="2"/>
  <c r="H27" i="2" s="1"/>
  <c r="F23" i="2"/>
  <c r="H23" i="2" s="1"/>
  <c r="F19" i="2"/>
  <c r="H19" i="2" s="1"/>
  <c r="F15" i="2"/>
  <c r="H15" i="2" s="1"/>
  <c r="F11" i="2"/>
  <c r="H11" i="2" s="1"/>
  <c r="F6" i="2"/>
  <c r="H6" i="2" s="1"/>
  <c r="H83" i="1"/>
  <c r="H59" i="1"/>
  <c r="H6" i="1"/>
  <c r="H89" i="2"/>
  <c r="H85" i="2"/>
  <c r="H81" i="2"/>
  <c r="H77" i="2"/>
  <c r="H73" i="2"/>
  <c r="H65" i="2"/>
  <c r="H57" i="2"/>
  <c r="H53" i="2"/>
  <c r="H49" i="2"/>
  <c r="H41" i="2"/>
  <c r="H37" i="2"/>
  <c r="H33" i="2"/>
  <c r="H21" i="2"/>
  <c r="H72" i="1"/>
  <c r="H68" i="1"/>
  <c r="F27" i="3"/>
  <c r="F23" i="3"/>
  <c r="F19" i="3"/>
  <c r="F15" i="3"/>
  <c r="F11" i="3"/>
  <c r="F19" i="6"/>
  <c r="H19" i="6" s="1"/>
  <c r="F90" i="1"/>
  <c r="H90" i="1" s="1"/>
  <c r="F86" i="1"/>
  <c r="H86" i="1" s="1"/>
  <c r="F82" i="1"/>
  <c r="H82" i="1" s="1"/>
  <c r="F78" i="1"/>
  <c r="H78" i="1" s="1"/>
  <c r="F74" i="1"/>
  <c r="H74" i="1" s="1"/>
  <c r="F70" i="1"/>
  <c r="H70" i="1" s="1"/>
  <c r="F66" i="1"/>
  <c r="H66" i="1" s="1"/>
  <c r="F62" i="1"/>
  <c r="H62" i="1" s="1"/>
  <c r="F58" i="1"/>
  <c r="H58" i="1" s="1"/>
  <c r="F54" i="1"/>
  <c r="H54" i="1" s="1"/>
  <c r="F50" i="1"/>
  <c r="H50" i="1" s="1"/>
  <c r="F46" i="1"/>
  <c r="H46" i="1" s="1"/>
  <c r="F42" i="1"/>
  <c r="H42" i="1" s="1"/>
  <c r="F38" i="1"/>
  <c r="H38" i="1" s="1"/>
  <c r="F34" i="1"/>
  <c r="H34" i="1" s="1"/>
  <c r="F30" i="1"/>
  <c r="H30" i="1" s="1"/>
  <c r="F26" i="1"/>
  <c r="H26" i="1" s="1"/>
  <c r="F22" i="1"/>
  <c r="H22" i="1" s="1"/>
  <c r="F18" i="1"/>
  <c r="H18" i="1" s="1"/>
  <c r="F14" i="1"/>
  <c r="H14" i="1" s="1"/>
  <c r="F10" i="1"/>
  <c r="H10" i="1" s="1"/>
  <c r="F30" i="2"/>
  <c r="H30" i="2" s="1"/>
  <c r="F26" i="2"/>
  <c r="H26" i="2" s="1"/>
  <c r="F22" i="2"/>
  <c r="H22" i="2" s="1"/>
  <c r="F18" i="2"/>
  <c r="H18" i="2" s="1"/>
  <c r="F14" i="2"/>
  <c r="H14" i="2" s="1"/>
  <c r="F9" i="2"/>
  <c r="H9" i="2" s="1"/>
  <c r="H15" i="9"/>
  <c r="B13" i="11" s="1"/>
  <c r="H5" i="2"/>
  <c r="G9" i="6"/>
  <c r="F16" i="6"/>
  <c r="H16" i="6" s="1"/>
  <c r="F14" i="6"/>
  <c r="H14" i="6" s="1"/>
  <c r="F12" i="6"/>
  <c r="H12" i="6" s="1"/>
  <c r="F9" i="6"/>
  <c r="H9" i="6" s="1"/>
  <c r="F7" i="6"/>
  <c r="H7" i="6" s="1"/>
  <c r="F5" i="6"/>
  <c r="H5" i="6" s="1"/>
  <c r="F15" i="6"/>
  <c r="H15" i="6" s="1"/>
  <c r="F13" i="6"/>
  <c r="H13" i="6" s="1"/>
  <c r="F11" i="6"/>
  <c r="H11" i="6" s="1"/>
  <c r="F8" i="6"/>
  <c r="H8" i="6" s="1"/>
  <c r="E17" i="11" l="1"/>
  <c r="B16" i="10"/>
  <c r="B17" i="10" s="1"/>
  <c r="B18" i="10" s="1"/>
  <c r="B19" i="10" s="1"/>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s="1"/>
  <c r="B54" i="10" s="1"/>
  <c r="B55" i="10" s="1"/>
  <c r="B56" i="10" s="1"/>
  <c r="B57" i="10" s="1"/>
  <c r="B58" i="10" s="1"/>
  <c r="B59" i="10" s="1"/>
  <c r="F3" i="3"/>
  <c r="F37" i="7" s="1"/>
  <c r="E4" i="8"/>
  <c r="F38" i="7" s="1"/>
  <c r="H3" i="1"/>
  <c r="F27" i="7" s="1"/>
  <c r="H3" i="2"/>
  <c r="F28" i="7" s="1"/>
  <c r="F3" i="1"/>
  <c r="D24" i="7" s="1"/>
  <c r="F3" i="2"/>
  <c r="E24" i="7" s="1"/>
  <c r="H16" i="9"/>
  <c r="B14" i="11" s="1"/>
  <c r="H3" i="6"/>
  <c r="F30" i="7" s="1"/>
  <c r="F3" i="6"/>
  <c r="G24" i="7" s="1"/>
  <c r="H5" i="7" l="1"/>
  <c r="H8" i="7" s="1"/>
  <c r="G36" i="7" s="1"/>
  <c r="F32" i="7"/>
  <c r="F39" i="7" s="1"/>
  <c r="G39" i="7" s="1"/>
  <c r="H17" i="9"/>
  <c r="B15" i="11" s="1"/>
  <c r="G41" i="7" l="1"/>
  <c r="H24" i="7" s="1"/>
  <c r="C10" i="11" s="1"/>
  <c r="D10" i="11" s="1"/>
  <c r="F10" i="11" s="1"/>
  <c r="H18" i="9"/>
  <c r="B16" i="11" s="1"/>
  <c r="I24" i="7" l="1"/>
  <c r="C10" i="10"/>
  <c r="F12" i="11"/>
  <c r="H19" i="9"/>
  <c r="B17" i="11" s="1"/>
  <c r="C43" i="10"/>
  <c r="C57" i="10"/>
  <c r="C56" i="10"/>
  <c r="C50" i="10"/>
  <c r="C34" i="10"/>
  <c r="C32" i="10"/>
  <c r="C59" i="10"/>
  <c r="C22" i="10"/>
  <c r="C26" i="10"/>
  <c r="C38" i="10"/>
  <c r="C13" i="10"/>
  <c r="C19" i="10"/>
  <c r="C45" i="10"/>
  <c r="C47" i="10"/>
  <c r="C17" i="10"/>
  <c r="C29" i="10"/>
  <c r="C11" i="10"/>
  <c r="C48" i="10"/>
  <c r="C27" i="10"/>
  <c r="C36" i="10"/>
  <c r="C30" i="10"/>
  <c r="C15" i="10"/>
  <c r="C35" i="10"/>
  <c r="C39" i="10"/>
  <c r="C31" i="10"/>
  <c r="C25" i="10"/>
  <c r="C58" i="10"/>
  <c r="C16" i="10"/>
  <c r="C12" i="10"/>
  <c r="C41" i="10"/>
  <c r="C21" i="10"/>
  <c r="C46" i="10"/>
  <c r="C28" i="10"/>
  <c r="C51" i="10"/>
  <c r="C24" i="10"/>
  <c r="C37" i="10"/>
  <c r="C14" i="10"/>
  <c r="C40" i="10"/>
  <c r="C54" i="10"/>
  <c r="C53" i="10"/>
  <c r="C49" i="10"/>
  <c r="C23" i="10"/>
  <c r="C33" i="10"/>
  <c r="C18" i="10"/>
  <c r="C55" i="10"/>
  <c r="C20" i="10"/>
  <c r="C42" i="10"/>
  <c r="C52" i="10"/>
  <c r="C44" i="10"/>
  <c r="H20" i="9" l="1"/>
  <c r="B18" i="11" s="1"/>
  <c r="H21" i="9" l="1"/>
  <c r="B19" i="11" s="1"/>
  <c r="H22" i="9" l="1"/>
  <c r="B20" i="11" s="1"/>
  <c r="H23" i="9" l="1"/>
  <c r="B21" i="11" s="1"/>
  <c r="H24" i="9" l="1"/>
  <c r="B22" i="11" s="1"/>
  <c r="H25" i="9" l="1"/>
  <c r="B23" i="11" s="1"/>
  <c r="H26" i="9" l="1"/>
  <c r="B24" i="11" s="1"/>
  <c r="H27" i="9" l="1"/>
  <c r="B25" i="11" s="1"/>
  <c r="H28" i="9" l="1"/>
  <c r="B26" i="11" s="1"/>
  <c r="H29" i="9" l="1"/>
  <c r="B27" i="11" s="1"/>
  <c r="H30" i="9" l="1"/>
  <c r="B28" i="11" s="1"/>
  <c r="H31" i="9" l="1"/>
  <c r="B29" i="11" s="1"/>
  <c r="H32" i="9" l="1"/>
  <c r="B30" i="11" s="1"/>
  <c r="H33" i="9" l="1"/>
  <c r="B31" i="11" s="1"/>
  <c r="H34" i="9" l="1"/>
  <c r="B32" i="11" s="1"/>
  <c r="H35" i="9" l="1"/>
  <c r="B33" i="11" s="1"/>
  <c r="H36" i="9" l="1"/>
  <c r="B34" i="11" s="1"/>
  <c r="H37" i="9" l="1"/>
  <c r="B35" i="11" s="1"/>
  <c r="H38" i="9" l="1"/>
  <c r="B36" i="11" s="1"/>
  <c r="H39" i="9" l="1"/>
  <c r="B37" i="11" s="1"/>
  <c r="H40" i="9" l="1"/>
  <c r="B38" i="11" s="1"/>
  <c r="H41" i="9" l="1"/>
  <c r="B39" i="11" s="1"/>
  <c r="H42" i="9" l="1"/>
  <c r="B40" i="11" s="1"/>
  <c r="H43" i="9" l="1"/>
  <c r="B41" i="11" s="1"/>
  <c r="H44" i="9" l="1"/>
  <c r="B42" i="11" s="1"/>
  <c r="H45" i="9" l="1"/>
  <c r="B43" i="11" s="1"/>
  <c r="H46" i="9" l="1"/>
  <c r="B44" i="11" s="1"/>
  <c r="H47" i="9" l="1"/>
  <c r="B45" i="11" s="1"/>
  <c r="H48" i="9" l="1"/>
  <c r="B46" i="11" s="1"/>
  <c r="H49" i="9" l="1"/>
  <c r="B47" i="11" s="1"/>
  <c r="H50" i="9" l="1"/>
  <c r="B48" i="11" s="1"/>
  <c r="H51" i="9" l="1"/>
  <c r="B49" i="11" s="1"/>
  <c r="H52" i="9" l="1"/>
  <c r="B50" i="11" s="1"/>
  <c r="H53" i="9" l="1"/>
  <c r="B51" i="11" s="1"/>
  <c r="H54" i="9" l="1"/>
  <c r="B52" i="11" s="1"/>
  <c r="H55" i="9" l="1"/>
  <c r="B53" i="11" s="1"/>
  <c r="H56" i="9" l="1"/>
  <c r="B54" i="11" s="1"/>
  <c r="H57" i="9" l="1"/>
  <c r="B55" i="11" s="1"/>
  <c r="H58" i="9" l="1"/>
  <c r="B56" i="11" s="1"/>
  <c r="H59" i="9" l="1"/>
  <c r="B57" i="11" s="1"/>
  <c r="H60" i="9" l="1"/>
  <c r="B58" i="11" s="1"/>
  <c r="H61" i="9" l="1"/>
  <c r="B59" i="11" s="1"/>
  <c r="H63" i="9" l="1"/>
  <c r="B61" i="11" s="1"/>
  <c r="H62" i="9"/>
  <c r="B60" i="11" s="1"/>
  <c r="D12" i="11"/>
  <c r="C12" i="11" s="1"/>
  <c r="F13" i="11"/>
  <c r="D13" i="11" s="1"/>
  <c r="C13" i="11" s="1"/>
  <c r="F14" i="11" l="1"/>
  <c r="D14" i="11" l="1"/>
  <c r="C14" i="11" s="1"/>
  <c r="F15" i="11"/>
  <c r="F16" i="11" l="1"/>
  <c r="D15" i="11"/>
  <c r="C15" i="11" s="1"/>
  <c r="F17" i="11" l="1"/>
  <c r="D16" i="11"/>
  <c r="C16" i="11" s="1"/>
  <c r="F18" i="11" l="1"/>
  <c r="D17" i="11"/>
  <c r="C17" i="11" s="1"/>
  <c r="D18" i="11" l="1"/>
  <c r="C18" i="11" s="1"/>
  <c r="F19" i="11"/>
  <c r="D19" i="11" l="1"/>
  <c r="C19" i="11" s="1"/>
  <c r="F20" i="11"/>
  <c r="D20" i="11" l="1"/>
  <c r="C20" i="11" s="1"/>
  <c r="F21" i="11"/>
  <c r="F22" i="11" l="1"/>
  <c r="D21" i="11"/>
  <c r="C21" i="11" s="1"/>
  <c r="D22" i="11" l="1"/>
  <c r="C22" i="11" s="1"/>
  <c r="F23" i="11"/>
  <c r="F24" i="11" l="1"/>
  <c r="D23" i="11"/>
  <c r="C23" i="11" s="1"/>
  <c r="F25" i="11" l="1"/>
  <c r="D24" i="11"/>
  <c r="C24" i="11" s="1"/>
  <c r="F26" i="11" l="1"/>
  <c r="D25" i="11"/>
  <c r="C25" i="11" s="1"/>
  <c r="F27" i="11" l="1"/>
  <c r="D26" i="11"/>
  <c r="C26" i="11" s="1"/>
  <c r="F28" i="11" l="1"/>
  <c r="D27" i="11"/>
  <c r="C27" i="11" s="1"/>
  <c r="F29" i="11" l="1"/>
  <c r="D28" i="11"/>
  <c r="C28" i="11" s="1"/>
  <c r="F30" i="11" l="1"/>
  <c r="D29" i="11"/>
  <c r="C29" i="11" s="1"/>
  <c r="F31" i="11" l="1"/>
  <c r="D30" i="11"/>
  <c r="C30" i="11" s="1"/>
  <c r="F32" i="11" l="1"/>
  <c r="D31" i="11"/>
  <c r="C31" i="11" s="1"/>
  <c r="F33" i="11" l="1"/>
  <c r="D32" i="11"/>
  <c r="C32" i="11" s="1"/>
  <c r="F34" i="11" l="1"/>
  <c r="D33" i="11"/>
  <c r="C33" i="11" s="1"/>
  <c r="F35" i="11" l="1"/>
  <c r="D34" i="11"/>
  <c r="C34" i="11" s="1"/>
  <c r="F36" i="11" l="1"/>
  <c r="D35" i="11"/>
  <c r="C35" i="11" s="1"/>
  <c r="F37" i="11" l="1"/>
  <c r="D36" i="11"/>
  <c r="C36" i="11" s="1"/>
  <c r="F38" i="11" l="1"/>
  <c r="D37" i="11"/>
  <c r="C37" i="11" s="1"/>
  <c r="F39" i="11" l="1"/>
  <c r="D38" i="11"/>
  <c r="C38" i="11" s="1"/>
  <c r="F40" i="11" l="1"/>
  <c r="D39" i="11"/>
  <c r="C39" i="11" s="1"/>
  <c r="F41" i="11" l="1"/>
  <c r="D40" i="11"/>
  <c r="C40" i="11" s="1"/>
  <c r="F42" i="11" l="1"/>
  <c r="D41" i="11"/>
  <c r="C41" i="11" s="1"/>
  <c r="F43" i="11" l="1"/>
  <c r="D42" i="11"/>
  <c r="C42" i="11" s="1"/>
  <c r="F44" i="11" l="1"/>
  <c r="D43" i="11"/>
  <c r="C43" i="11" s="1"/>
  <c r="F45" i="11" l="1"/>
  <c r="D44" i="11"/>
  <c r="C44" i="11" s="1"/>
  <c r="F46" i="11" l="1"/>
  <c r="D45" i="11"/>
  <c r="C45" i="11" s="1"/>
  <c r="F47" i="11" l="1"/>
  <c r="D46" i="11"/>
  <c r="C46" i="11" s="1"/>
  <c r="F48" i="11" l="1"/>
  <c r="D47" i="11"/>
  <c r="C47" i="11" s="1"/>
  <c r="F49" i="11" l="1"/>
  <c r="D48" i="11"/>
  <c r="C48" i="11" s="1"/>
  <c r="F50" i="11" l="1"/>
  <c r="D49" i="11"/>
  <c r="C49" i="11" s="1"/>
  <c r="F51" i="11" l="1"/>
  <c r="D50" i="11"/>
  <c r="C50" i="11" s="1"/>
  <c r="F52" i="11" l="1"/>
  <c r="D51" i="11"/>
  <c r="C51" i="11" s="1"/>
  <c r="F53" i="11" l="1"/>
  <c r="D52" i="11"/>
  <c r="C52" i="11" s="1"/>
  <c r="F54" i="11" l="1"/>
  <c r="D53" i="11"/>
  <c r="C53" i="11" s="1"/>
  <c r="F55" i="11" l="1"/>
  <c r="D54" i="11"/>
  <c r="C54" i="11" s="1"/>
  <c r="F56" i="11" l="1"/>
  <c r="D55" i="11"/>
  <c r="C55" i="11" s="1"/>
  <c r="F57" i="11" l="1"/>
  <c r="D56" i="11"/>
  <c r="C56" i="11" s="1"/>
  <c r="F58" i="11" l="1"/>
  <c r="D57" i="11"/>
  <c r="C57" i="11" s="1"/>
  <c r="F59" i="11" l="1"/>
  <c r="D58" i="11"/>
  <c r="C58" i="11" s="1"/>
  <c r="F60" i="11" l="1"/>
  <c r="D59" i="11"/>
  <c r="C59" i="11" s="1"/>
  <c r="F61" i="11" l="1"/>
  <c r="D61" i="11" s="1"/>
  <c r="C61" i="11" s="1"/>
  <c r="D60" i="11"/>
  <c r="C60" i="11" s="1"/>
</calcChain>
</file>

<file path=xl/sharedStrings.xml><?xml version="1.0" encoding="utf-8"?>
<sst xmlns="http://schemas.openxmlformats.org/spreadsheetml/2006/main" count="480" uniqueCount="207">
  <si>
    <t>BJ</t>
  </si>
  <si>
    <t>WBZW (2020)</t>
  </si>
  <si>
    <t>SJ</t>
  </si>
  <si>
    <t>jährl. SR</t>
  </si>
  <si>
    <t>Anz. Jahre SR</t>
  </si>
  <si>
    <t>TOTAL</t>
  </si>
  <si>
    <t>Länge (m)</t>
  </si>
  <si>
    <t>ND (Jahre)</t>
  </si>
  <si>
    <t>besh. ASSR</t>
  </si>
  <si>
    <t>Bezeichnung</t>
  </si>
  <si>
    <t>Objekt</t>
  </si>
  <si>
    <t>Erstellungskosten (=WBZW)</t>
  </si>
  <si>
    <t>Total</t>
  </si>
  <si>
    <t>Objektart</t>
  </si>
  <si>
    <t>Jahr</t>
  </si>
  <si>
    <t>Kompensation individuelle Situation</t>
  </si>
  <si>
    <t>Bisher ASSR</t>
  </si>
  <si>
    <t>Ausstehende Subventionen</t>
  </si>
  <si>
    <t>Prognostizierte Einnahmen über Anschlussgebühr</t>
  </si>
  <si>
    <t>Einnahmen AG durch Neubauten</t>
  </si>
  <si>
    <t>Einnahmen AG durch Umbauten</t>
  </si>
  <si>
    <t>Differenzkompensation eff. Zins / kalk. Zins</t>
  </si>
  <si>
    <t>Kompensation</t>
  </si>
  <si>
    <t>Laufende Betriebskosten</t>
  </si>
  <si>
    <t>Kalkulation der jährlichen Betriebskosten</t>
  </si>
  <si>
    <t>Zins</t>
  </si>
  <si>
    <t>LTG</t>
  </si>
  <si>
    <t>UT3: Systemumstellung Schöngrund</t>
  </si>
  <si>
    <t>Dauer</t>
  </si>
  <si>
    <t>Spühlen &amp; TV-Kanalaufnahmen</t>
  </si>
  <si>
    <t>Sanierungskosten (=WBZW)</t>
  </si>
  <si>
    <t>Normschacht</t>
  </si>
  <si>
    <t>Eigenmittel Netto heute</t>
  </si>
  <si>
    <t>(AH 1.1)</t>
  </si>
  <si>
    <t xml:space="preserve">
(AH 1.2)</t>
  </si>
  <si>
    <t>(AH 2.1-2.3)</t>
  </si>
  <si>
    <t xml:space="preserve">
(AH 3)</t>
  </si>
  <si>
    <t xml:space="preserve">
(kalkulatorisch)</t>
  </si>
  <si>
    <t>TOTAL
jährl. Werterhaltungs-kosten</t>
  </si>
  <si>
    <t>Bilanz</t>
  </si>
  <si>
    <t>Alter</t>
  </si>
  <si>
    <t>Aus-blick</t>
  </si>
  <si>
    <t>Auswertungsjahr</t>
  </si>
  <si>
    <t>Abwasserrelevanter Frischwasserverbrauch</t>
  </si>
  <si>
    <t>GEP Massnahmen</t>
  </si>
  <si>
    <r>
      <t>Abwassermenge (m</t>
    </r>
    <r>
      <rPr>
        <b/>
        <vertAlign val="superscript"/>
        <sz val="11"/>
        <color theme="1"/>
        <rFont val="Calibri"/>
        <family val="2"/>
        <scheme val="minor"/>
      </rPr>
      <t>3</t>
    </r>
    <r>
      <rPr>
        <b/>
        <sz val="11"/>
        <color theme="1"/>
        <rFont val="Calibri"/>
        <family val="2"/>
        <scheme val="minor"/>
      </rPr>
      <t>/a)</t>
    </r>
  </si>
  <si>
    <t>UT6: Systemumstellung Holzhäusern</t>
  </si>
  <si>
    <t>UT7: Systemumstellung Risch</t>
  </si>
  <si>
    <t>UT4: Systemumstellung Waldegg</t>
  </si>
  <si>
    <t>RI13995</t>
  </si>
  <si>
    <t>BU12217</t>
  </si>
  <si>
    <t>RO12667</t>
  </si>
  <si>
    <t>RO13141</t>
  </si>
  <si>
    <t>aus Bilanz</t>
  </si>
  <si>
    <t>aus Rechnung</t>
  </si>
  <si>
    <t>Investitionen</t>
  </si>
  <si>
    <t>Anteil (Brutto) an Ausbau der Verbandsanlagen GVRZ</t>
  </si>
  <si>
    <t>Vorhanden gemeindeeigene Sonderbauwerke</t>
  </si>
  <si>
    <t>ARA Schönau</t>
  </si>
  <si>
    <t>%</t>
  </si>
  <si>
    <t>gemäss Betriebskostenverteiler</t>
  </si>
  <si>
    <t>berechnet</t>
  </si>
  <si>
    <t>Quellen:</t>
  </si>
  <si>
    <t>AG</t>
  </si>
  <si>
    <t>Personal-kosten</t>
  </si>
  <si>
    <t>Betriebs-, Verb., Strom, Pauschalsteuer</t>
  </si>
  <si>
    <t>Unterhalt, Reparatur</t>
  </si>
  <si>
    <t>Beiträge an Verband GVRZ</t>
  </si>
  <si>
    <t>Int. Verrechnen von Dienstleistungen</t>
  </si>
  <si>
    <t>DL Dritter</t>
  </si>
  <si>
    <t>Total laufende Betriebskosten (Brutto)</t>
  </si>
  <si>
    <t>Jahr der Auswertung</t>
  </si>
  <si>
    <t>Beispiel</t>
  </si>
  <si>
    <t>Einnahmen</t>
  </si>
  <si>
    <t>kompensation individuelle Situation</t>
  </si>
  <si>
    <t>Sparrate
ARA</t>
  </si>
  <si>
    <t>Sparrate Sonderbauwerke</t>
  </si>
  <si>
    <t>Sparrate 
Schmutzwasser (SW)</t>
  </si>
  <si>
    <t>Sparrate
Mischwasser (MetW)</t>
  </si>
  <si>
    <t>(+) diskontierte Investition Ausbau</t>
  </si>
  <si>
    <t>(-) diskontierte Anschlussgebühren 31.12.2020</t>
  </si>
  <si>
    <t>(+) nachholbedarf Sparrate SW</t>
  </si>
  <si>
    <t>(+) nachholbedarf Sparrate MetW</t>
  </si>
  <si>
    <t>(+) nachholbedarf Sparrate ARA</t>
  </si>
  <si>
    <t>(+) nachholbedarf Sparrate SBW</t>
  </si>
  <si>
    <t>(-)  bisher realisierte Teilsanierungen</t>
  </si>
  <si>
    <t>(+) Fremdkapital 31.12.2019</t>
  </si>
  <si>
    <t>(+) Ausstehende Subventionen</t>
  </si>
  <si>
    <t>(-) Saldo Spezialfinanzierung 31.12.2019</t>
  </si>
  <si>
    <t>Kosten diskontiert</t>
  </si>
  <si>
    <t>UT1: Trennsystem Weid</t>
  </si>
  <si>
    <t>UT2: Systemumstellung Allrüti</t>
  </si>
  <si>
    <t>UT8: Systemumstellung Birkenmatt</t>
  </si>
  <si>
    <t>UI1: Systemumstellung Industriegebiet West</t>
  </si>
  <si>
    <t>UI2: Systemumstellung Industriegebiet Ost</t>
  </si>
  <si>
    <t>UT5: Systemumstellung Lerchenweg</t>
  </si>
  <si>
    <t>NB1: Neues Baugebiet Binzmüli</t>
  </si>
  <si>
    <t>NB2: Neues Baugebiet Boden</t>
  </si>
  <si>
    <t>NB3: Neues Baugebiet Holzhäusern</t>
  </si>
  <si>
    <t>NB4: Neues Baugebiet Buonas</t>
  </si>
  <si>
    <t>UT8: Systemunstellung Birckenmatt</t>
  </si>
  <si>
    <t>Beispiel: Massnahmentabelle</t>
  </si>
  <si>
    <t>LH2: Leitungsersatz aufgrund Überlastungen Gebiet Rotkreuz Nord</t>
  </si>
  <si>
    <t>FR1: Fremdwassersanierung Gebiet Neuhaus</t>
  </si>
  <si>
    <t>FR2: Fremdwassersanierung Gebiet Wildrüti</t>
  </si>
  <si>
    <t>KO1: Kombischächte aufheben</t>
  </si>
  <si>
    <t>LH1: Leitungsersatz aufgrund Überlastungen Gebiet Rotkreuz Süd</t>
  </si>
  <si>
    <t>LH3: Leitungsersatz aufgrund Überlastungen Gebiet Risch</t>
  </si>
  <si>
    <t>LH4: Leitungsersatz aufgrund Überlastungen Gebiet Holzhäusern</t>
  </si>
  <si>
    <t>LH5: Leitungsersatz aufgrund Überlastungen Gebiet Buonas</t>
  </si>
  <si>
    <t>Länge [m]</t>
  </si>
  <si>
    <t>BU12175</t>
  </si>
  <si>
    <t>RO13085</t>
  </si>
  <si>
    <t>RO13073</t>
  </si>
  <si>
    <t>Spezialbauwerk</t>
  </si>
  <si>
    <t>RO19306</t>
  </si>
  <si>
    <t>RO13150</t>
  </si>
  <si>
    <t>RO11753</t>
  </si>
  <si>
    <t>RO11710</t>
  </si>
  <si>
    <t>RO11752</t>
  </si>
  <si>
    <t>RO11916</t>
  </si>
  <si>
    <t>RO11858</t>
  </si>
  <si>
    <t>RO13142</t>
  </si>
  <si>
    <t>Beispiel: Zusammenzug WBZW aus Leitungskastaster</t>
  </si>
  <si>
    <t>Subvention WBZW (2010) Anteil Mustergemeinde</t>
  </si>
  <si>
    <t>Subvention WBZW (2020) Anteil Mustergemeinde</t>
  </si>
  <si>
    <t>Bruttoaufbaukosten (WBZW 2020) Anteil Mustergemeinde</t>
  </si>
  <si>
    <t>Verbandskanalisationsnetz (VKN)</t>
  </si>
  <si>
    <t>Bruttoaufbaukosten (WBZW 2020) GVRZ</t>
  </si>
  <si>
    <t>Beispiel: Prognostizierte Einnahmen Mustergemeinde</t>
  </si>
  <si>
    <t>-</t>
  </si>
  <si>
    <t>Total Einnahmen diskontiert</t>
  </si>
  <si>
    <r>
      <rPr>
        <b/>
        <sz val="12"/>
        <color theme="1"/>
        <rFont val="Calibri"/>
        <family val="2"/>
        <scheme val="minor"/>
      </rPr>
      <t>Bruttowert</t>
    </r>
    <r>
      <rPr>
        <b/>
        <sz val="11"/>
        <color theme="1"/>
        <rFont val="Calibri"/>
        <family val="2"/>
        <scheme val="minor"/>
      </rPr>
      <t xml:space="preserve"> Abwasseranlagen (Unterhalt Gemeinde)</t>
    </r>
  </si>
  <si>
    <t>A) Anlagenwert</t>
  </si>
  <si>
    <t>C) Kalkulation der jährliche Werthaltungskosten</t>
  </si>
  <si>
    <t>Aufsummierung jährlichen Sparraten (SR)</t>
  </si>
  <si>
    <t>AH 1.1. Gemeindeeigene Schmutz- und Mischwasserleitung</t>
  </si>
  <si>
    <t>AH 1.2 Gemeindeeigene Meteorwasserleitung</t>
  </si>
  <si>
    <t>AH 1.4 Projektierte Sanierungen (Werterhalt)</t>
  </si>
  <si>
    <t>AH 2.0 Aufbaukosten der Verbandsanlagen GVRZ</t>
  </si>
  <si>
    <t>AH 3.0 Sonderbauwerke</t>
  </si>
  <si>
    <t>AH01.1</t>
  </si>
  <si>
    <t>AH01.2</t>
  </si>
  <si>
    <t>AH2.0</t>
  </si>
  <si>
    <t>AH3.0</t>
  </si>
  <si>
    <t>jährl. SR (CHF)</t>
  </si>
  <si>
    <t>bish. ASSR (CHF)</t>
  </si>
  <si>
    <t>AH1.3</t>
  </si>
  <si>
    <t>AH1.1 &amp; AH1.2</t>
  </si>
  <si>
    <r>
      <t>gebührenrelevante Kosten (CHF/m</t>
    </r>
    <r>
      <rPr>
        <vertAlign val="superscript"/>
        <sz val="11"/>
        <color theme="1"/>
        <rFont val="Calibri"/>
        <family val="2"/>
        <scheme val="minor"/>
      </rPr>
      <t>3</t>
    </r>
    <r>
      <rPr>
        <sz val="11"/>
        <color theme="1"/>
        <rFont val="Calibri"/>
        <family val="2"/>
        <scheme val="minor"/>
      </rPr>
      <t>)</t>
    </r>
  </si>
  <si>
    <t>AH 1.3 Projektierter Ausbau der Anlagen (Erweiterung)</t>
  </si>
  <si>
    <t>Die direkten Betriebskosten umfassen die Kosten für Betrieb und Wartung des Kanalisationssnetzes und der Sonderbauwerke. Die Kosten der Abwasserreinigungsanalage sind über die Beiträge an den Verband abgedeckt. Die Kosten für die Werterhaltung (Abschreibung und Werterhalt, baulicher Unterhalt, Verzinsung) werden nicht als direkte Betriebskosten bewertet. Diese sind Teil der jährlichen Werterhaltungskosten.</t>
  </si>
  <si>
    <t>Beispiel: Mustergemeinde</t>
  </si>
  <si>
    <t>Der letzte Vorschlag wird als Startwert genutzt</t>
  </si>
  <si>
    <t>B) BILANZ (Spezialfinanzierung)</t>
  </si>
  <si>
    <t>projektierte Kanalisationen</t>
  </si>
  <si>
    <t>erstellte Kanalisationen</t>
  </si>
  <si>
    <r>
      <t>Werte und Informationen in Zellenbereich "</t>
    </r>
    <r>
      <rPr>
        <b/>
        <sz val="14"/>
        <color theme="4" tint="-0.249977111117893"/>
        <rFont val="Calibri"/>
        <family val="2"/>
        <scheme val="minor"/>
      </rPr>
      <t>blauen Werte"</t>
    </r>
    <r>
      <rPr>
        <b/>
        <sz val="14"/>
        <color theme="1"/>
        <rFont val="Calibri"/>
        <family val="2"/>
        <scheme val="minor"/>
      </rPr>
      <t xml:space="preserve"> eingeben </t>
    </r>
  </si>
  <si>
    <t>Vorgehen</t>
  </si>
  <si>
    <r>
      <t xml:space="preserve">Kurzanleitung der Tabellenkalkulation
</t>
    </r>
    <r>
      <rPr>
        <sz val="16"/>
        <color theme="1"/>
        <rFont val="Calibri"/>
        <family val="2"/>
        <scheme val="minor"/>
      </rPr>
      <t>Kostenkalkulation für die Abwasserinfrastruktur</t>
    </r>
  </si>
  <si>
    <r>
      <rPr>
        <b/>
        <sz val="11"/>
        <color theme="1"/>
        <rFont val="Calibri"/>
        <family val="2"/>
        <scheme val="minor"/>
      </rPr>
      <t>Tabelle</t>
    </r>
    <r>
      <rPr>
        <sz val="11"/>
        <color theme="1"/>
        <rFont val="Calibri"/>
        <family val="2"/>
        <scheme val="minor"/>
      </rPr>
      <t xml:space="preserve">
Zellenbereich</t>
    </r>
  </si>
  <si>
    <t>Auswertung</t>
  </si>
  <si>
    <t>Teuerung</t>
  </si>
  <si>
    <t>KA 2021</t>
  </si>
  <si>
    <t>kalk. Betriebskosten Werterhaltungskosten</t>
  </si>
  <si>
    <t>Kalk. Soll-Einnahmen</t>
  </si>
  <si>
    <t>eff. Verzinsung Saldo Spezialfinanz. (MW 2017-2019)</t>
  </si>
  <si>
    <t xml:space="preserve">= effektiver Zinssatz </t>
  </si>
  <si>
    <t>eff. Verzinsung Restbuchwert (Fremdfinanzierung) (MW 2017-2019)</t>
  </si>
  <si>
    <t>Restbuchwert (Fremdfinanzierung) 2019 (HRM 2)</t>
  </si>
  <si>
    <t>Kompensation Zins</t>
  </si>
  <si>
    <t>Saldo Spezialfinanz. (HRM 2)</t>
  </si>
  <si>
    <t>berechnet unten</t>
  </si>
  <si>
    <t>gemäss SpezFinanz.</t>
  </si>
  <si>
    <r>
      <t>Prognose Frischwasser-verbrauch (m</t>
    </r>
    <r>
      <rPr>
        <vertAlign val="superscript"/>
        <sz val="11"/>
        <color theme="1"/>
        <rFont val="Calibri"/>
        <family val="2"/>
        <scheme val="minor"/>
      </rPr>
      <t>3</t>
    </r>
    <r>
      <rPr>
        <sz val="11"/>
        <color theme="1"/>
        <rFont val="Calibri"/>
        <family val="2"/>
        <scheme val="minor"/>
      </rPr>
      <t>/a)</t>
    </r>
  </si>
  <si>
    <t>Differenzbetrag zu kalkulatorischem Zinssatz</t>
  </si>
  <si>
    <t>Saldo Spezfinzierung 31.12 des Betrachtungsjahrs</t>
  </si>
  <si>
    <t>Aktivierte Anlagen 31.12 des Betrachtungsjahrs</t>
  </si>
  <si>
    <t>WBZW [Betrachtungsjahr]</t>
  </si>
  <si>
    <t>Fehlbetrag 01.01. Betrachtungsjahr</t>
  </si>
  <si>
    <t>Eigenmittelanteil:</t>
  </si>
  <si>
    <r>
      <t xml:space="preserve">Der Anteil am Betriebskostenverteiler des GVRZ lag für die Gemeinden </t>
    </r>
    <r>
      <rPr>
        <i/>
        <sz val="11"/>
        <color theme="1"/>
        <rFont val="Calibri"/>
        <family val="2"/>
        <scheme val="minor"/>
      </rPr>
      <t>2020</t>
    </r>
    <r>
      <rPr>
        <sz val="11"/>
        <color theme="1"/>
        <rFont val="Calibri"/>
        <family val="2"/>
        <scheme val="minor"/>
      </rPr>
      <t xml:space="preserve"> bei </t>
    </r>
    <r>
      <rPr>
        <i/>
        <sz val="11"/>
        <color theme="1"/>
        <rFont val="Calibri"/>
        <family val="2"/>
        <scheme val="minor"/>
      </rPr>
      <t>8.35 %</t>
    </r>
    <r>
      <rPr>
        <sz val="11"/>
        <color theme="1"/>
        <rFont val="Calibri"/>
        <family val="2"/>
        <scheme val="minor"/>
      </rPr>
      <t>. Der GVRZ stellt die Finanzierung seiner Infrastruktur über die Betriebskostenbeiträge sicher. Das heisst die Gemeinde muss für die Verbandsanlagen keine eigenen Rückstellungen bilden.</t>
    </r>
  </si>
  <si>
    <r>
      <t>9. Angabe der prognostizierten Anschlussgebühren</t>
    </r>
    <r>
      <rPr>
        <u/>
        <sz val="10"/>
        <rFont val="Calibri"/>
        <family val="2"/>
        <scheme val="minor"/>
      </rPr>
      <t xml:space="preserve">
</t>
    </r>
    <r>
      <rPr>
        <sz val="10"/>
        <rFont val="Calibri"/>
        <family val="2"/>
        <scheme val="minor"/>
      </rPr>
      <t>Die Einnahmen der zukünftig erwarteten Anschlussgebühren können angegeben werden.</t>
    </r>
  </si>
  <si>
    <r>
      <rPr>
        <u/>
        <sz val="10"/>
        <color theme="4"/>
        <rFont val="Calibri"/>
        <family val="2"/>
        <scheme val="minor"/>
      </rPr>
      <t>4. Angabe der Wiederbeschaffungswerte und Leitungslängen der Meteorleitungen</t>
    </r>
    <r>
      <rPr>
        <sz val="10"/>
        <color theme="1"/>
        <rFont val="Calibri"/>
        <family val="2"/>
        <scheme val="minor"/>
      </rPr>
      <t xml:space="preserve">
dito Schritt 3</t>
    </r>
  </si>
  <si>
    <r>
      <t>8. Eingabe der Wiederbeschaffungswerte der Sonderbauwerke</t>
    </r>
    <r>
      <rPr>
        <u/>
        <sz val="10"/>
        <rFont val="Calibri"/>
        <family val="2"/>
        <scheme val="minor"/>
      </rPr>
      <t xml:space="preserve">
</t>
    </r>
    <r>
      <rPr>
        <sz val="10"/>
        <rFont val="Calibri"/>
        <family val="2"/>
        <scheme val="minor"/>
      </rPr>
      <t>Die Wiederbeschaffungswerte der Sonderbauwerke können anhand der Baukostenabrechnung hergeleitet oder aufgrund anderer Grundlagen abgeschätzt werden.</t>
    </r>
  </si>
  <si>
    <t>Tel: 079 252 19 57</t>
  </si>
  <si>
    <t>Email: bernd.kobler@kompetent-beraten.ch</t>
  </si>
  <si>
    <t>Support:</t>
  </si>
  <si>
    <r>
      <rPr>
        <b/>
        <sz val="10"/>
        <rFont val="Calibri"/>
        <family val="2"/>
        <scheme val="minor"/>
      </rPr>
      <t>laufendeBK</t>
    </r>
    <r>
      <rPr>
        <sz val="10"/>
        <rFont val="Calibri"/>
        <family val="2"/>
        <scheme val="minor"/>
      </rPr>
      <t xml:space="preserve">
B6:G10</t>
    </r>
  </si>
  <si>
    <r>
      <rPr>
        <b/>
        <sz val="10"/>
        <rFont val="Calibri"/>
        <family val="2"/>
        <scheme val="minor"/>
      </rPr>
      <t>AH1.1</t>
    </r>
    <r>
      <rPr>
        <sz val="10"/>
        <rFont val="Calibri"/>
        <family val="2"/>
        <scheme val="minor"/>
      </rPr>
      <t xml:space="preserve">
B5:C90</t>
    </r>
  </si>
  <si>
    <r>
      <rPr>
        <b/>
        <sz val="10"/>
        <rFont val="Calibri"/>
        <family val="2"/>
        <scheme val="minor"/>
      </rPr>
      <t xml:space="preserve">AH1.2 </t>
    </r>
    <r>
      <rPr>
        <sz val="10"/>
        <rFont val="Calibri"/>
        <family val="2"/>
        <scheme val="minor"/>
      </rPr>
      <t xml:space="preserve">
B5:C90</t>
    </r>
  </si>
  <si>
    <r>
      <rPr>
        <b/>
        <sz val="10"/>
        <rFont val="Calibri"/>
        <family val="2"/>
        <scheme val="minor"/>
      </rPr>
      <t>AH1.3</t>
    </r>
    <r>
      <rPr>
        <sz val="10"/>
        <rFont val="Calibri"/>
        <family val="2"/>
        <scheme val="minor"/>
      </rPr>
      <t xml:space="preserve">
A5:D69</t>
    </r>
  </si>
  <si>
    <r>
      <rPr>
        <u/>
        <sz val="10"/>
        <color theme="4"/>
        <rFont val="Calibri"/>
        <family val="2"/>
        <scheme val="minor"/>
      </rPr>
      <t xml:space="preserve">1. Festlegen von Betrachtungsjahr und gültigen Zinssatzes
</t>
    </r>
    <r>
      <rPr>
        <sz val="10"/>
        <rFont val="Calibri"/>
        <family val="2"/>
        <scheme val="minor"/>
      </rPr>
      <t>Eingabe der Bilanzwerte
Mit Eingabe des Betrachtungsjahrs werden alle in den Tabellen aufgeführen Jahreszahlen automatisch angepasst. Der Zinssatz 3% kann individuall angepasst werden.  
Eingabe der bisher realisierten Teilsanierungen.</t>
    </r>
    <r>
      <rPr>
        <sz val="10"/>
        <color theme="1"/>
        <rFont val="Calibri"/>
        <family val="2"/>
        <scheme val="minor"/>
      </rPr>
      <t xml:space="preserve">
EIngabe der Saldostände der Spezialfinanzierung.</t>
    </r>
  </si>
  <si>
    <r>
      <rPr>
        <b/>
        <sz val="10"/>
        <rFont val="Calibri"/>
        <family val="2"/>
        <scheme val="minor"/>
      </rPr>
      <t xml:space="preserve">Kostenkalkulation </t>
    </r>
    <r>
      <rPr>
        <sz val="10"/>
        <rFont val="Calibri"/>
        <family val="2"/>
        <scheme val="minor"/>
      </rPr>
      <t xml:space="preserve">
H12:H14
E18:E19 
F30
F47:F52</t>
    </r>
  </si>
  <si>
    <r>
      <rPr>
        <b/>
        <sz val="10"/>
        <rFont val="Calibri"/>
        <family val="2"/>
        <scheme val="minor"/>
      </rPr>
      <t>AH1.4</t>
    </r>
    <r>
      <rPr>
        <sz val="10"/>
        <rFont val="Calibri"/>
        <family val="2"/>
        <scheme val="minor"/>
      </rPr>
      <t xml:space="preserve">
A5:C103</t>
    </r>
  </si>
  <si>
    <r>
      <rPr>
        <b/>
        <sz val="10"/>
        <rFont val="Calibri"/>
        <family val="2"/>
        <scheme val="minor"/>
      </rPr>
      <t>AH2.0</t>
    </r>
    <r>
      <rPr>
        <sz val="10"/>
        <rFont val="Calibri"/>
        <family val="2"/>
        <scheme val="minor"/>
      </rPr>
      <t xml:space="preserve">
D3</t>
    </r>
  </si>
  <si>
    <r>
      <rPr>
        <b/>
        <sz val="10"/>
        <rFont val="Calibri"/>
        <family val="2"/>
        <scheme val="minor"/>
      </rPr>
      <t>AH3.0</t>
    </r>
    <r>
      <rPr>
        <sz val="10"/>
        <rFont val="Calibri"/>
        <family val="2"/>
        <scheme val="minor"/>
      </rPr>
      <t xml:space="preserve">
A5:E19</t>
    </r>
  </si>
  <si>
    <r>
      <rPr>
        <b/>
        <sz val="10"/>
        <rFont val="Calibri"/>
        <family val="2"/>
        <scheme val="minor"/>
      </rPr>
      <t xml:space="preserve">AG </t>
    </r>
    <r>
      <rPr>
        <sz val="10"/>
        <rFont val="Calibri"/>
        <family val="2"/>
        <scheme val="minor"/>
      </rPr>
      <t xml:space="preserve">
B6:C70</t>
    </r>
  </si>
  <si>
    <r>
      <rPr>
        <b/>
        <sz val="10"/>
        <rFont val="Calibri"/>
        <family val="2"/>
        <scheme val="minor"/>
      </rPr>
      <t>Verbrauch</t>
    </r>
    <r>
      <rPr>
        <sz val="10"/>
        <rFont val="Calibri"/>
        <family val="2"/>
        <scheme val="minor"/>
      </rPr>
      <t xml:space="preserve">
B4:B10</t>
    </r>
  </si>
  <si>
    <r>
      <rPr>
        <u/>
        <sz val="10"/>
        <color theme="4"/>
        <rFont val="Calibri"/>
        <family val="2"/>
        <scheme val="minor"/>
      </rPr>
      <t>5. Angabe des projektierten Ausbaus der Anlagen</t>
    </r>
    <r>
      <rPr>
        <sz val="10"/>
        <color theme="1"/>
        <rFont val="Calibri"/>
        <family val="2"/>
        <scheme val="minor"/>
      </rPr>
      <t xml:space="preserve">
Projektierte Erweiterungen der Abwasserinfrastrukturen sind anzugeben</t>
    </r>
  </si>
  <si>
    <r>
      <rPr>
        <u/>
        <sz val="10"/>
        <color theme="4"/>
        <rFont val="Calibri"/>
        <family val="2"/>
        <scheme val="minor"/>
      </rPr>
      <t>6. Angabe der Projektierten Sanierungen</t>
    </r>
    <r>
      <rPr>
        <sz val="10"/>
        <color theme="1"/>
        <rFont val="Calibri"/>
        <family val="2"/>
        <scheme val="minor"/>
      </rPr>
      <t xml:space="preserve">
Die projektierten Sanierungskosten der Abwasserinfrastruktur können eingegeben werden.</t>
    </r>
  </si>
  <si>
    <t>Alle 5 Jahre die Kostenanalyse erneuern</t>
  </si>
  <si>
    <r>
      <rPr>
        <u/>
        <sz val="10"/>
        <color theme="4"/>
        <rFont val="Calibri"/>
        <family val="2"/>
        <scheme val="minor"/>
      </rPr>
      <t>2. Angabe der laufenden Betriebskosten in Tabelle:</t>
    </r>
    <r>
      <rPr>
        <sz val="10"/>
        <color theme="1"/>
        <rFont val="Calibri"/>
        <family val="2"/>
        <scheme val="minor"/>
      </rPr>
      <t xml:space="preserve">
Die laufenden Betriebskosten der letzten Jahre (Basis Erfolgsrechnung - ER) können im grün hinterlegten Bereich eingegeben werden. Der Vorschlag kann im blau hinterlegten Bereich eingegeben werden:
- Personalkosten
- Betriebs-, Verbrauch, Strom, Pauschalsteuer
- Unterhalt, Reparatur
- Beiträge an Verband GVRZ
- Intern Verrechnung von Dienstleistungen
- Dienstleistungen Dritter </t>
    </r>
  </si>
  <si>
    <r>
      <rPr>
        <u/>
        <sz val="10"/>
        <color theme="4"/>
        <rFont val="Calibri"/>
        <family val="2"/>
        <scheme val="minor"/>
      </rPr>
      <t>3. Wiederbeschaffungswerte und Leitungslängen der Misch- und Schmutzwasserleitung:</t>
    </r>
    <r>
      <rPr>
        <sz val="10"/>
        <color theme="1"/>
        <rFont val="Calibri"/>
        <family val="2"/>
        <scheme val="minor"/>
      </rPr>
      <t xml:space="preserve">
Bezug auf den Abwasserkataster. Die aktuellen Wiederbeschaffungswerte können anhand der Baukostenabrechnungermittelt oder auf Basis der Leitungsdurchmesser abgeschätzt werden. Es ist die Summe der aktuellen Wiederbeschaffungswerte sowie die Leitungslängen pro Erstellungsjahr anzugeben.        </t>
    </r>
  </si>
  <si>
    <r>
      <rPr>
        <u/>
        <sz val="10"/>
        <color theme="4"/>
        <rFont val="Calibri"/>
        <family val="2"/>
        <scheme val="minor"/>
      </rPr>
      <t>7. Aufbaukosten der Verbandsanlagen</t>
    </r>
    <r>
      <rPr>
        <sz val="10"/>
        <color theme="1"/>
        <rFont val="Calibri"/>
        <family val="2"/>
        <scheme val="minor"/>
      </rPr>
      <t xml:space="preserve">
An der Stelle wird der prozentuale Kostenbeitrag an den Gewässerschutzverband eingetragen</t>
    </r>
  </si>
  <si>
    <r>
      <t>10. Angabe der Trinkwasserverbrauchsmengen</t>
    </r>
    <r>
      <rPr>
        <u/>
        <sz val="10"/>
        <rFont val="Calibri"/>
        <family val="2"/>
        <scheme val="minor"/>
      </rPr>
      <t xml:space="preserve">
</t>
    </r>
    <r>
      <rPr>
        <sz val="10"/>
        <rFont val="Calibri"/>
        <family val="2"/>
        <scheme val="minor"/>
      </rPr>
      <t>Für die spezifischen Berechnungen müssen abwasserrelevante Trinkwasserverbräuche der letzten Jahre angegeben werden.</t>
    </r>
  </si>
  <si>
    <t>Version 2.1 / 15.03.2022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</si>
</sst>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0.0%"/>
    <numFmt numFmtId="166" formatCode="&quot;ER&quot;\ 0"/>
    <numFmt numFmtId="167" formatCode="&quot;VA&quot;\ 0"/>
    <numFmt numFmtId="168" formatCode="&quot;LR&quot;\ 0"/>
    <numFmt numFmtId="169" formatCode="__\ &quot;Fr.&quot;\ * #,##0.\-_ ;_ &quot;Fr.&quot;\ * \-#,##0_ ;__\ &quot;Fr.&quot;\ * &quot;0.-&quot;_ ;_ @_ "/>
    <numFmt numFmtId="170" formatCode="&quot;Fr.&quot;\ #,##0"/>
    <numFmt numFmtId="171" formatCode="&quot;Fr.&quot;\ 0.00"/>
    <numFmt numFmtId="172" formatCode="__\ &quot;Fr.&quot;\ \ \ \ \ \+\ * #,##0.\-_ ;__\ &quot;Fr.&quot;\ \ \ \ \ \-\ * #,##0.\-_ ;__\ &quot;Fr.&quot;\ * &quot;0.-&quot;_ ;_ @_ "/>
  </numFmts>
  <fonts count="56" x14ac:knownFonts="1">
    <font>
      <sz val="11"/>
      <color theme="1"/>
      <name val="Calibri"/>
      <family val="2"/>
      <scheme val="minor"/>
    </font>
    <font>
      <b/>
      <sz val="16"/>
      <color theme="8" tint="-0.249977111117893"/>
      <name val="Calibri"/>
      <family val="2"/>
      <scheme val="minor"/>
    </font>
    <font>
      <b/>
      <sz val="11"/>
      <color theme="1"/>
      <name val="Calibri"/>
      <family val="2"/>
      <scheme val="minor"/>
    </font>
    <font>
      <sz val="9"/>
      <color theme="1"/>
      <name val="Calibri"/>
      <family val="2"/>
      <scheme val="minor"/>
    </font>
    <font>
      <b/>
      <i/>
      <sz val="9"/>
      <color theme="1"/>
      <name val="Calibri"/>
      <family val="2"/>
      <scheme val="minor"/>
    </font>
    <font>
      <i/>
      <sz val="9"/>
      <color theme="1"/>
      <name val="Calibri"/>
      <family val="2"/>
      <scheme val="minor"/>
    </font>
    <font>
      <b/>
      <vertAlign val="superscript"/>
      <sz val="11"/>
      <color theme="1"/>
      <name val="Calibri"/>
      <family val="2"/>
      <scheme val="minor"/>
    </font>
    <font>
      <b/>
      <sz val="12"/>
      <name val="Calibri"/>
      <family val="2"/>
      <scheme val="minor"/>
    </font>
    <font>
      <b/>
      <sz val="12"/>
      <color theme="1"/>
      <name val="Calibri"/>
      <family val="2"/>
      <scheme val="minor"/>
    </font>
    <font>
      <b/>
      <sz val="7"/>
      <color theme="1"/>
      <name val="Calibri"/>
      <family val="2"/>
      <scheme val="minor"/>
    </font>
    <font>
      <sz val="18"/>
      <color theme="3"/>
      <name val="Calibri Light"/>
      <family val="2"/>
      <scheme val="major"/>
    </font>
    <font>
      <sz val="8"/>
      <color theme="2" tint="-0.249977111117893"/>
      <name val="Calibri"/>
      <family val="2"/>
      <scheme val="minor"/>
    </font>
    <font>
      <sz val="11"/>
      <color theme="1"/>
      <name val="Arial"/>
      <family val="2"/>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i/>
      <sz val="12"/>
      <name val="Calibri"/>
      <family val="2"/>
      <scheme val="minor"/>
    </font>
    <font>
      <b/>
      <sz val="11"/>
      <name val="Calibri"/>
      <family val="2"/>
      <scheme val="minor"/>
    </font>
    <font>
      <vertAlign val="superscript"/>
      <sz val="11"/>
      <color theme="1"/>
      <name val="Calibri"/>
      <family val="2"/>
      <scheme val="minor"/>
    </font>
    <font>
      <sz val="7"/>
      <color theme="1"/>
      <name val="Calibri"/>
      <family val="2"/>
      <scheme val="minor"/>
    </font>
    <font>
      <b/>
      <sz val="18"/>
      <color theme="8" tint="-0.249977111117893"/>
      <name val="Calibri"/>
      <family val="2"/>
      <scheme val="minor"/>
    </font>
    <font>
      <b/>
      <sz val="18"/>
      <color theme="8" tint="0.79998168889431442"/>
      <name val="Calibri"/>
      <family val="2"/>
      <scheme val="minor"/>
    </font>
    <font>
      <sz val="11"/>
      <color theme="8" tint="0.79998168889431442"/>
      <name val="Calibri"/>
      <family val="2"/>
      <scheme val="minor"/>
    </font>
    <font>
      <sz val="11"/>
      <color theme="4" tint="-0.249977111117893"/>
      <name val="Calibri"/>
      <family val="2"/>
      <scheme val="minor"/>
    </font>
    <font>
      <b/>
      <sz val="11"/>
      <color theme="4" tint="-0.249977111117893"/>
      <name val="Calibri"/>
      <family val="2"/>
      <scheme val="minor"/>
    </font>
    <font>
      <b/>
      <sz val="14"/>
      <color theme="4" tint="-0.249977111117893"/>
      <name val="Calibri"/>
      <family val="2"/>
      <scheme val="minor"/>
    </font>
    <font>
      <b/>
      <sz val="9"/>
      <color theme="4" tint="-0.249977111117893"/>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b/>
      <sz val="20"/>
      <color theme="1"/>
      <name val="Calibri"/>
      <family val="2"/>
      <scheme val="minor"/>
    </font>
    <font>
      <u/>
      <sz val="11"/>
      <color theme="10"/>
      <name val="Calibri"/>
      <family val="2"/>
      <scheme val="minor"/>
    </font>
    <font>
      <sz val="16"/>
      <color theme="1"/>
      <name val="Calibri"/>
      <family val="2"/>
      <scheme val="minor"/>
    </font>
    <font>
      <sz val="10"/>
      <name val="MS Sans Serif"/>
      <family val="2"/>
    </font>
    <font>
      <sz val="10"/>
      <name val="Calibri"/>
      <family val="2"/>
      <scheme val="minor"/>
    </font>
    <font>
      <b/>
      <sz val="11"/>
      <color rgb="FFC00000"/>
      <name val="Calibri"/>
      <family val="2"/>
      <scheme val="minor"/>
    </font>
    <font>
      <b/>
      <sz val="11"/>
      <color rgb="FFFF0000"/>
      <name val="Calibri"/>
      <family val="2"/>
      <scheme val="minor"/>
    </font>
    <font>
      <sz val="10"/>
      <color theme="1"/>
      <name val="Calibri"/>
      <family val="2"/>
      <scheme val="minor"/>
    </font>
    <font>
      <u/>
      <sz val="10"/>
      <color theme="4"/>
      <name val="Calibri"/>
      <family val="2"/>
      <scheme val="minor"/>
    </font>
    <font>
      <u/>
      <sz val="10"/>
      <name val="Calibri"/>
      <family val="2"/>
      <scheme val="minor"/>
    </font>
    <font>
      <i/>
      <sz val="11"/>
      <color theme="1"/>
      <name val="Calibri"/>
      <family val="2"/>
      <scheme val="minor"/>
    </font>
    <font>
      <b/>
      <sz val="10"/>
      <name val="Calibri"/>
      <family val="2"/>
      <scheme val="minor"/>
    </font>
    <font>
      <sz val="10"/>
      <name val="Arial"/>
      <family val="2"/>
    </font>
  </fonts>
  <fills count="49">
    <fill>
      <patternFill patternType="none"/>
    </fill>
    <fill>
      <patternFill patternType="gray125"/>
    </fill>
    <fill>
      <patternFill patternType="solid">
        <fgColor theme="9"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theme="8" tint="0.79998168889431442"/>
        <bgColor indexed="64"/>
      </patternFill>
    </fill>
    <fill>
      <patternFill patternType="solid">
        <fgColor theme="1" tint="0.34998626667073579"/>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6" tint="0.59999389629810485"/>
        <bgColor indexed="64"/>
      </patternFill>
    </fill>
  </fills>
  <borders count="5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ck">
        <color indexed="64"/>
      </top>
      <bottom/>
      <diagonal/>
    </border>
    <border>
      <left/>
      <right style="thick">
        <color indexed="64"/>
      </right>
      <top/>
      <bottom/>
      <diagonal/>
    </border>
    <border>
      <left/>
      <right/>
      <top/>
      <bottom style="medium">
        <color indexed="64"/>
      </bottom>
      <diagonal/>
    </border>
    <border>
      <left/>
      <right style="medium">
        <color indexed="64"/>
      </right>
      <top/>
      <bottom style="medium">
        <color indexed="64"/>
      </bottom>
      <diagonal/>
    </border>
    <border>
      <left/>
      <right/>
      <top/>
      <bottom style="thick">
        <color indexed="64"/>
      </bottom>
      <diagonal/>
    </border>
    <border>
      <left style="thick">
        <color indexed="64"/>
      </left>
      <right style="thin">
        <color indexed="64"/>
      </right>
      <top style="thick">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ck">
        <color indexed="64"/>
      </left>
      <right style="thin">
        <color indexed="64"/>
      </right>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48">
    <xf numFmtId="0" fontId="0" fillId="0" borderId="0"/>
    <xf numFmtId="0" fontId="10" fillId="0" borderId="0" applyNumberFormat="0" applyFill="0" applyBorder="0" applyAlignment="0" applyProtection="0"/>
    <xf numFmtId="0" fontId="12" fillId="0" borderId="0"/>
    <xf numFmtId="0" fontId="13" fillId="0" borderId="21" applyNumberFormat="0" applyFill="0" applyAlignment="0" applyProtection="0"/>
    <xf numFmtId="0" fontId="14" fillId="0" borderId="22" applyNumberFormat="0" applyFill="0" applyAlignment="0" applyProtection="0"/>
    <xf numFmtId="0" fontId="15" fillId="0" borderId="23" applyNumberFormat="0" applyFill="0" applyAlignment="0" applyProtection="0"/>
    <xf numFmtId="0" fontId="15" fillId="0" borderId="0" applyNumberFormat="0" applyFill="0" applyBorder="0" applyAlignment="0" applyProtection="0"/>
    <xf numFmtId="0" fontId="16" fillId="9" borderId="0" applyNumberFormat="0" applyBorder="0" applyAlignment="0" applyProtection="0"/>
    <xf numFmtId="0" fontId="17" fillId="10" borderId="0" applyNumberFormat="0" applyBorder="0" applyAlignment="0" applyProtection="0"/>
    <xf numFmtId="0" fontId="18" fillId="11" borderId="0" applyNumberFormat="0" applyBorder="0" applyAlignment="0" applyProtection="0"/>
    <xf numFmtId="0" fontId="19" fillId="12" borderId="24" applyNumberFormat="0" applyAlignment="0" applyProtection="0"/>
    <xf numFmtId="0" fontId="20" fillId="13" borderId="25" applyNumberFormat="0" applyAlignment="0" applyProtection="0"/>
    <xf numFmtId="0" fontId="21" fillId="13" borderId="24" applyNumberFormat="0" applyAlignment="0" applyProtection="0"/>
    <xf numFmtId="0" fontId="22" fillId="0" borderId="26" applyNumberFormat="0" applyFill="0" applyAlignment="0" applyProtection="0"/>
    <xf numFmtId="0" fontId="23" fillId="14" borderId="27" applyNumberFormat="0" applyAlignment="0" applyProtection="0"/>
    <xf numFmtId="0" fontId="24" fillId="0" borderId="0" applyNumberFormat="0" applyFill="0" applyBorder="0" applyAlignment="0" applyProtection="0"/>
    <xf numFmtId="0" fontId="12" fillId="15" borderId="28" applyNumberFormat="0" applyFont="0" applyAlignment="0" applyProtection="0"/>
    <xf numFmtId="0" fontId="25" fillId="0" borderId="0" applyNumberFormat="0" applyFill="0" applyBorder="0" applyAlignment="0" applyProtection="0"/>
    <xf numFmtId="0" fontId="26" fillId="0" borderId="29" applyNumberFormat="0" applyFill="0" applyAlignment="0" applyProtection="0"/>
    <xf numFmtId="0" fontId="27"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27" fillId="27" borderId="0" applyNumberFormat="0" applyBorder="0" applyAlignment="0" applyProtection="0"/>
    <xf numFmtId="0" fontId="27"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27" fillId="31" borderId="0" applyNumberFormat="0" applyBorder="0" applyAlignment="0" applyProtection="0"/>
    <xf numFmtId="0" fontId="27"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27" fillId="35" borderId="0" applyNumberFormat="0" applyBorder="0" applyAlignment="0" applyProtection="0"/>
    <xf numFmtId="0" fontId="27"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27" fillId="39" borderId="0" applyNumberFormat="0" applyBorder="0" applyAlignment="0" applyProtection="0"/>
    <xf numFmtId="9" fontId="42" fillId="0" borderId="0" applyFont="0" applyFill="0" applyBorder="0" applyAlignment="0" applyProtection="0"/>
    <xf numFmtId="0" fontId="44" fillId="0" borderId="0" applyNumberFormat="0" applyFill="0" applyBorder="0" applyAlignment="0" applyProtection="0"/>
    <xf numFmtId="0" fontId="46" fillId="0" borderId="0"/>
    <xf numFmtId="0" fontId="46" fillId="0" borderId="0"/>
    <xf numFmtId="0" fontId="55" fillId="0" borderId="0"/>
  </cellStyleXfs>
  <cellXfs count="344">
    <xf numFmtId="0" fontId="0" fillId="0" borderId="0" xfId="0"/>
    <xf numFmtId="0" fontId="0" fillId="0" borderId="0" xfId="0" applyAlignment="1">
      <alignment horizontal="center"/>
    </xf>
    <xf numFmtId="3" fontId="0" fillId="0" borderId="0" xfId="0" applyNumberFormat="1"/>
    <xf numFmtId="0" fontId="35" fillId="0" borderId="32" xfId="0" applyFont="1" applyFill="1" applyBorder="1" applyAlignment="1" applyProtection="1">
      <alignment horizontal="center"/>
      <protection locked="0"/>
    </xf>
    <xf numFmtId="0" fontId="35" fillId="0" borderId="31" xfId="0" applyFont="1" applyFill="1" applyBorder="1" applyProtection="1">
      <protection locked="0"/>
    </xf>
    <xf numFmtId="3" fontId="35" fillId="0" borderId="31" xfId="0" applyNumberFormat="1" applyFont="1" applyFill="1" applyBorder="1" applyAlignment="1" applyProtection="1">
      <alignment horizontal="right"/>
      <protection locked="0"/>
    </xf>
    <xf numFmtId="0" fontId="35" fillId="6" borderId="32" xfId="0" applyFont="1" applyFill="1" applyBorder="1" applyAlignment="1" applyProtection="1">
      <alignment horizontal="center"/>
      <protection locked="0"/>
    </xf>
    <xf numFmtId="0" fontId="35" fillId="6" borderId="31" xfId="0" applyFont="1" applyFill="1" applyBorder="1" applyProtection="1">
      <protection locked="0"/>
    </xf>
    <xf numFmtId="0" fontId="35" fillId="0" borderId="33" xfId="0" applyFont="1" applyFill="1" applyBorder="1" applyAlignment="1" applyProtection="1">
      <alignment horizontal="center"/>
      <protection locked="0"/>
    </xf>
    <xf numFmtId="0" fontId="35" fillId="0" borderId="34" xfId="0" applyFont="1" applyFill="1" applyBorder="1" applyProtection="1">
      <protection locked="0"/>
    </xf>
    <xf numFmtId="3" fontId="35" fillId="0" borderId="34" xfId="0" applyNumberFormat="1" applyFont="1" applyFill="1" applyBorder="1" applyAlignment="1" applyProtection="1">
      <alignment horizontal="right"/>
      <protection locked="0"/>
    </xf>
    <xf numFmtId="0" fontId="35" fillId="0" borderId="31" xfId="0" applyFont="1" applyFill="1" applyBorder="1" applyAlignment="1" applyProtection="1">
      <alignment horizontal="right"/>
      <protection locked="0"/>
    </xf>
    <xf numFmtId="0" fontId="35" fillId="0" borderId="32" xfId="0" applyFont="1" applyBorder="1" applyAlignment="1" applyProtection="1">
      <alignment horizontal="center"/>
      <protection locked="0"/>
    </xf>
    <xf numFmtId="0" fontId="35" fillId="0" borderId="31" xfId="0" applyFont="1" applyBorder="1" applyProtection="1">
      <protection locked="0"/>
    </xf>
    <xf numFmtId="0" fontId="35" fillId="0" borderId="33" xfId="0" applyFont="1" applyBorder="1" applyAlignment="1" applyProtection="1">
      <alignment horizontal="center"/>
      <protection locked="0"/>
    </xf>
    <xf numFmtId="0" fontId="35" fillId="0" borderId="34" xfId="0" applyFont="1" applyBorder="1" applyProtection="1">
      <protection locked="0"/>
    </xf>
    <xf numFmtId="0" fontId="35" fillId="0" borderId="31" xfId="0" applyFont="1" applyBorder="1" applyAlignment="1" applyProtection="1">
      <alignment horizontal="center"/>
      <protection locked="0"/>
    </xf>
    <xf numFmtId="0" fontId="35" fillId="0" borderId="38" xfId="0" applyFont="1" applyBorder="1" applyAlignment="1" applyProtection="1">
      <alignment horizontal="left"/>
      <protection locked="0"/>
    </xf>
    <xf numFmtId="0" fontId="35" fillId="0" borderId="39" xfId="0" applyFont="1" applyBorder="1" applyAlignment="1" applyProtection="1">
      <alignment horizontal="center"/>
      <protection locked="0"/>
    </xf>
    <xf numFmtId="0" fontId="35" fillId="0" borderId="32" xfId="0" applyFont="1" applyBorder="1" applyAlignment="1" applyProtection="1">
      <alignment horizontal="left"/>
      <protection locked="0"/>
    </xf>
    <xf numFmtId="0" fontId="35" fillId="0" borderId="33" xfId="0" applyFont="1" applyBorder="1" applyAlignment="1" applyProtection="1">
      <alignment horizontal="left"/>
      <protection locked="0"/>
    </xf>
    <xf numFmtId="0" fontId="35" fillId="0" borderId="34" xfId="0" applyFont="1" applyBorder="1" applyAlignment="1" applyProtection="1">
      <alignment horizontal="center"/>
      <protection locked="0"/>
    </xf>
    <xf numFmtId="0" fontId="35" fillId="0" borderId="31" xfId="0" applyFont="1" applyBorder="1" applyAlignment="1" applyProtection="1">
      <alignment wrapText="1"/>
      <protection locked="0"/>
    </xf>
    <xf numFmtId="0" fontId="35" fillId="0" borderId="31" xfId="0" applyFont="1" applyBorder="1" applyAlignment="1" applyProtection="1">
      <alignment horizontal="right" wrapText="1"/>
      <protection locked="0"/>
    </xf>
    <xf numFmtId="0" fontId="35" fillId="0" borderId="39" xfId="0" applyFont="1" applyBorder="1" applyAlignment="1" applyProtection="1">
      <alignment wrapText="1"/>
      <protection locked="0"/>
    </xf>
    <xf numFmtId="0" fontId="36" fillId="5" borderId="31" xfId="0" applyFont="1" applyFill="1" applyBorder="1" applyProtection="1">
      <protection locked="0"/>
    </xf>
    <xf numFmtId="3" fontId="36" fillId="44" borderId="31" xfId="0" applyNumberFormat="1" applyFont="1" applyFill="1" applyBorder="1" applyAlignment="1" applyProtection="1">
      <alignment horizontal="center"/>
      <protection locked="0"/>
    </xf>
    <xf numFmtId="165" fontId="37" fillId="8" borderId="9" xfId="0" applyNumberFormat="1" applyFont="1" applyFill="1" applyBorder="1" applyAlignment="1" applyProtection="1">
      <alignment horizontal="right" wrapText="1" indent="2"/>
      <protection locked="0"/>
    </xf>
    <xf numFmtId="0" fontId="37" fillId="8" borderId="18" xfId="0" applyFont="1" applyFill="1" applyBorder="1" applyAlignment="1" applyProtection="1">
      <alignment horizontal="right" wrapText="1" indent="2"/>
      <protection locked="0"/>
    </xf>
    <xf numFmtId="0" fontId="35" fillId="0" borderId="39" xfId="0" applyFont="1" applyFill="1" applyBorder="1" applyAlignment="1" applyProtection="1">
      <alignment horizontal="right"/>
      <protection locked="0"/>
    </xf>
    <xf numFmtId="0" fontId="35" fillId="0" borderId="36" xfId="0" applyFont="1" applyFill="1" applyBorder="1" applyAlignment="1" applyProtection="1">
      <alignment horizontal="center"/>
      <protection locked="0"/>
    </xf>
    <xf numFmtId="0" fontId="35" fillId="0" borderId="35" xfId="0" applyFont="1" applyFill="1" applyBorder="1" applyProtection="1">
      <protection locked="0"/>
    </xf>
    <xf numFmtId="0" fontId="35" fillId="0" borderId="36" xfId="0" applyFont="1" applyBorder="1" applyAlignment="1" applyProtection="1">
      <alignment horizontal="center"/>
      <protection locked="0"/>
    </xf>
    <xf numFmtId="0" fontId="35" fillId="0" borderId="35" xfId="0" applyFont="1" applyBorder="1" applyProtection="1">
      <protection locked="0"/>
    </xf>
    <xf numFmtId="0" fontId="36" fillId="5" borderId="0" xfId="0" applyFont="1" applyFill="1" applyProtection="1">
      <protection locked="0"/>
    </xf>
    <xf numFmtId="0" fontId="0" fillId="0" borderId="0" xfId="0" applyAlignment="1" applyProtection="1">
      <alignment wrapText="1"/>
    </xf>
    <xf numFmtId="0" fontId="40" fillId="0" borderId="0" xfId="0" applyFont="1" applyAlignment="1" applyProtection="1">
      <alignment vertical="top"/>
    </xf>
    <xf numFmtId="0" fontId="33" fillId="42" borderId="0" xfId="0" applyFont="1" applyFill="1" applyBorder="1" applyProtection="1"/>
    <xf numFmtId="0" fontId="0" fillId="42" borderId="0" xfId="0" applyFill="1" applyBorder="1" applyAlignment="1" applyProtection="1">
      <alignment wrapText="1"/>
    </xf>
    <xf numFmtId="0" fontId="0" fillId="42" borderId="0" xfId="0" applyFill="1" applyAlignment="1" applyProtection="1">
      <alignment wrapText="1"/>
    </xf>
    <xf numFmtId="0" fontId="2" fillId="0" borderId="0" xfId="0" applyFont="1" applyAlignment="1" applyProtection="1"/>
    <xf numFmtId="0" fontId="0" fillId="0" borderId="0" xfId="0" applyBorder="1" applyAlignment="1" applyProtection="1">
      <alignment wrapText="1"/>
    </xf>
    <xf numFmtId="0" fontId="0" fillId="43" borderId="5" xfId="0" applyFill="1" applyBorder="1" applyAlignment="1" applyProtection="1">
      <alignment wrapText="1"/>
    </xf>
    <xf numFmtId="0" fontId="0" fillId="43" borderId="8" xfId="0" applyFill="1" applyBorder="1" applyAlignment="1" applyProtection="1"/>
    <xf numFmtId="0" fontId="0" fillId="43" borderId="8" xfId="0" applyFill="1" applyBorder="1" applyAlignment="1" applyProtection="1">
      <alignment wrapText="1"/>
    </xf>
    <xf numFmtId="49" fontId="0" fillId="43" borderId="8" xfId="0" applyNumberFormat="1" applyFont="1" applyFill="1" applyBorder="1" applyAlignment="1" applyProtection="1">
      <alignment horizontal="left" wrapText="1"/>
    </xf>
    <xf numFmtId="0" fontId="0" fillId="43" borderId="6" xfId="0" applyFill="1" applyBorder="1" applyAlignment="1" applyProtection="1">
      <alignment wrapText="1"/>
    </xf>
    <xf numFmtId="0" fontId="0" fillId="43" borderId="0" xfId="0" applyFill="1" applyBorder="1" applyAlignment="1" applyProtection="1"/>
    <xf numFmtId="0" fontId="0" fillId="43" borderId="0" xfId="0" applyFill="1" applyBorder="1" applyAlignment="1" applyProtection="1">
      <alignment wrapText="1"/>
    </xf>
    <xf numFmtId="49" fontId="0" fillId="43" borderId="0" xfId="0" applyNumberFormat="1" applyFont="1" applyFill="1" applyBorder="1" applyAlignment="1" applyProtection="1">
      <alignment horizontal="left" wrapText="1"/>
    </xf>
    <xf numFmtId="49" fontId="0" fillId="43" borderId="0" xfId="0" applyNumberFormat="1" applyFont="1" applyFill="1" applyBorder="1" applyAlignment="1" applyProtection="1">
      <alignment horizontal="right" wrapText="1"/>
    </xf>
    <xf numFmtId="0" fontId="0" fillId="43" borderId="7" xfId="0" applyFill="1" applyBorder="1" applyAlignment="1" applyProtection="1">
      <alignment wrapText="1"/>
    </xf>
    <xf numFmtId="0" fontId="0" fillId="43" borderId="17" xfId="0" applyFill="1" applyBorder="1" applyAlignment="1" applyProtection="1"/>
    <xf numFmtId="0" fontId="0" fillId="43" borderId="17" xfId="0" applyFill="1" applyBorder="1" applyAlignment="1" applyProtection="1">
      <alignment wrapText="1"/>
    </xf>
    <xf numFmtId="49" fontId="0" fillId="43" borderId="17" xfId="0" applyNumberFormat="1" applyFont="1" applyFill="1" applyBorder="1" applyAlignment="1" applyProtection="1">
      <alignment horizontal="left" wrapText="1"/>
    </xf>
    <xf numFmtId="49" fontId="0" fillId="43" borderId="17" xfId="0" applyNumberFormat="1" applyFont="1" applyFill="1" applyBorder="1" applyAlignment="1" applyProtection="1">
      <alignment horizontal="right" wrapText="1"/>
    </xf>
    <xf numFmtId="0" fontId="2" fillId="41" borderId="7" xfId="0" applyFont="1" applyFill="1" applyBorder="1" applyAlignment="1" applyProtection="1">
      <alignment wrapText="1"/>
    </xf>
    <xf numFmtId="0" fontId="2" fillId="41" borderId="17" xfId="0" applyFont="1" applyFill="1" applyBorder="1" applyAlignment="1" applyProtection="1"/>
    <xf numFmtId="0" fontId="2" fillId="41" borderId="17" xfId="0" applyFont="1" applyFill="1" applyBorder="1" applyAlignment="1" applyProtection="1">
      <alignment wrapText="1"/>
    </xf>
    <xf numFmtId="0" fontId="0" fillId="0" borderId="0" xfId="0" applyFill="1" applyBorder="1" applyAlignment="1" applyProtection="1">
      <alignment wrapText="1"/>
    </xf>
    <xf numFmtId="0" fontId="0" fillId="0" borderId="0" xfId="0" applyFill="1" applyBorder="1" applyAlignment="1" applyProtection="1"/>
    <xf numFmtId="3" fontId="0" fillId="0" borderId="0" xfId="0" applyNumberFormat="1" applyFill="1" applyBorder="1" applyAlignment="1" applyProtection="1">
      <alignment wrapText="1"/>
    </xf>
    <xf numFmtId="0" fontId="1" fillId="42" borderId="0" xfId="0" applyFont="1" applyFill="1" applyBorder="1" applyProtection="1"/>
    <xf numFmtId="0" fontId="32" fillId="0" borderId="0" xfId="0" applyFont="1" applyProtection="1"/>
    <xf numFmtId="0" fontId="1" fillId="0" borderId="0" xfId="0" applyFont="1" applyProtection="1"/>
    <xf numFmtId="0" fontId="34" fillId="42" borderId="0" xfId="0" applyFont="1" applyFill="1" applyBorder="1" applyAlignment="1" applyProtection="1">
      <alignment wrapText="1"/>
    </xf>
    <xf numFmtId="0" fontId="40" fillId="8" borderId="5" xfId="0" applyFont="1" applyFill="1" applyBorder="1" applyAlignment="1" applyProtection="1">
      <alignment horizontal="left"/>
    </xf>
    <xf numFmtId="0" fontId="40" fillId="8" borderId="8" xfId="0" applyFont="1" applyFill="1" applyBorder="1" applyAlignment="1" applyProtection="1">
      <alignment wrapText="1"/>
    </xf>
    <xf numFmtId="49" fontId="0" fillId="0" borderId="0" xfId="0" applyNumberFormat="1" applyBorder="1" applyAlignment="1" applyProtection="1">
      <alignment wrapText="1"/>
    </xf>
    <xf numFmtId="0" fontId="40" fillId="8" borderId="7" xfId="0" applyFont="1" applyFill="1" applyBorder="1" applyAlignment="1" applyProtection="1">
      <alignment horizontal="left"/>
    </xf>
    <xf numFmtId="0" fontId="40" fillId="8" borderId="17" xfId="0" applyFont="1" applyFill="1" applyBorder="1" applyAlignment="1" applyProtection="1">
      <alignment wrapText="1"/>
    </xf>
    <xf numFmtId="0" fontId="0" fillId="0" borderId="19" xfId="0" applyBorder="1" applyAlignment="1" applyProtection="1">
      <alignment wrapText="1"/>
    </xf>
    <xf numFmtId="0" fontId="2" fillId="3" borderId="20" xfId="0" applyFont="1" applyFill="1" applyBorder="1" applyAlignment="1" applyProtection="1">
      <alignment horizontal="center" wrapText="1"/>
    </xf>
    <xf numFmtId="0" fontId="2" fillId="3" borderId="30" xfId="0" applyFont="1" applyFill="1" applyBorder="1" applyAlignment="1" applyProtection="1">
      <alignment horizontal="center" wrapText="1"/>
    </xf>
    <xf numFmtId="0" fontId="2" fillId="41" borderId="15" xfId="0" applyFont="1" applyFill="1" applyBorder="1" applyAlignment="1" applyProtection="1">
      <alignment horizontal="center" wrapText="1"/>
    </xf>
    <xf numFmtId="0" fontId="5" fillId="0" borderId="0" xfId="0" applyFont="1" applyAlignment="1" applyProtection="1">
      <alignment wrapText="1"/>
    </xf>
    <xf numFmtId="0" fontId="5" fillId="42" borderId="0" xfId="0" applyFont="1" applyFill="1" applyAlignment="1" applyProtection="1">
      <alignment wrapText="1"/>
    </xf>
    <xf numFmtId="0" fontId="0" fillId="0" borderId="0" xfId="0" applyAlignment="1" applyProtection="1"/>
    <xf numFmtId="0" fontId="0" fillId="42" borderId="0" xfId="0" applyFill="1" applyAlignment="1" applyProtection="1"/>
    <xf numFmtId="0" fontId="0" fillId="2" borderId="0" xfId="0" applyFill="1" applyBorder="1" applyAlignment="1" applyProtection="1">
      <alignment wrapText="1"/>
    </xf>
    <xf numFmtId="49" fontId="3" fillId="0" borderId="0" xfId="0" applyNumberFormat="1" applyFont="1" applyAlignment="1" applyProtection="1">
      <alignment wrapText="1"/>
    </xf>
    <xf numFmtId="0" fontId="3" fillId="0" borderId="0" xfId="0" applyFont="1" applyAlignment="1" applyProtection="1">
      <alignment horizontal="center" wrapText="1"/>
    </xf>
    <xf numFmtId="0" fontId="3" fillId="5" borderId="0" xfId="0" applyFont="1" applyFill="1" applyAlignment="1" applyProtection="1">
      <alignment wrapText="1"/>
    </xf>
    <xf numFmtId="0" fontId="0" fillId="3" borderId="2" xfId="0" applyFill="1" applyBorder="1" applyAlignment="1" applyProtection="1">
      <alignment wrapText="1"/>
    </xf>
    <xf numFmtId="0" fontId="0" fillId="3" borderId="2" xfId="0" applyFill="1" applyBorder="1" applyAlignment="1" applyProtection="1"/>
    <xf numFmtId="164" fontId="3" fillId="0" borderId="0" xfId="0" applyNumberFormat="1" applyFont="1" applyAlignment="1" applyProtection="1">
      <alignment horizontal="center" wrapText="1"/>
    </xf>
    <xf numFmtId="0" fontId="3" fillId="0" borderId="0" xfId="0" applyFont="1" applyBorder="1" applyAlignment="1" applyProtection="1">
      <alignment horizontal="center" wrapText="1"/>
    </xf>
    <xf numFmtId="165" fontId="3" fillId="0" borderId="0" xfId="0" applyNumberFormat="1" applyFont="1" applyAlignment="1" applyProtection="1">
      <alignment horizontal="left" wrapText="1"/>
    </xf>
    <xf numFmtId="165" fontId="38" fillId="0" borderId="0" xfId="0" applyNumberFormat="1" applyFont="1" applyAlignment="1" applyProtection="1">
      <alignment horizontal="left" wrapText="1"/>
    </xf>
    <xf numFmtId="0" fontId="31" fillId="0" borderId="0" xfId="0" applyFont="1" applyAlignment="1" applyProtection="1">
      <alignment wrapText="1"/>
    </xf>
    <xf numFmtId="4" fontId="0" fillId="0" borderId="0" xfId="0" applyNumberFormat="1" applyAlignment="1" applyProtection="1">
      <alignment horizontal="center" wrapText="1"/>
    </xf>
    <xf numFmtId="0" fontId="9" fillId="42" borderId="0" xfId="0" applyFont="1" applyFill="1" applyAlignment="1" applyProtection="1">
      <alignment wrapText="1"/>
    </xf>
    <xf numFmtId="3" fontId="0" fillId="42" borderId="0" xfId="0" applyNumberFormat="1" applyFill="1" applyAlignment="1" applyProtection="1">
      <alignment wrapText="1"/>
    </xf>
    <xf numFmtId="3" fontId="0" fillId="42" borderId="0" xfId="0" applyNumberFormat="1" applyFill="1" applyBorder="1" applyAlignment="1" applyProtection="1">
      <alignment wrapText="1"/>
    </xf>
    <xf numFmtId="164" fontId="3" fillId="42" borderId="0" xfId="0" applyNumberFormat="1" applyFont="1" applyFill="1" applyAlignment="1" applyProtection="1">
      <alignment horizontal="center" wrapText="1"/>
    </xf>
    <xf numFmtId="4" fontId="0" fillId="42" borderId="0" xfId="0" applyNumberFormat="1" applyFill="1" applyAlignment="1" applyProtection="1">
      <alignment horizontal="center" wrapText="1"/>
    </xf>
    <xf numFmtId="3" fontId="0" fillId="0" borderId="0" xfId="0" applyNumberFormat="1" applyAlignment="1" applyProtection="1">
      <alignment wrapText="1"/>
    </xf>
    <xf numFmtId="0" fontId="0" fillId="0" borderId="0" xfId="0" applyFont="1" applyAlignment="1" applyProtection="1">
      <alignment wrapText="1"/>
    </xf>
    <xf numFmtId="0" fontId="39" fillId="45" borderId="44" xfId="45" applyFont="1" applyFill="1" applyBorder="1" applyAlignment="1" applyProtection="1">
      <alignment horizontal="left" vertical="center"/>
    </xf>
    <xf numFmtId="0" fontId="39" fillId="45" borderId="47" xfId="45" applyFont="1" applyFill="1" applyBorder="1" applyAlignment="1" applyProtection="1">
      <alignment horizontal="left" vertical="center"/>
    </xf>
    <xf numFmtId="0" fontId="39" fillId="45" borderId="45" xfId="45" applyFont="1" applyFill="1" applyBorder="1" applyAlignment="1" applyProtection="1">
      <alignment horizontal="left" vertical="center"/>
    </xf>
    <xf numFmtId="0" fontId="39" fillId="45" borderId="44" xfId="45" quotePrefix="1" applyFont="1" applyFill="1" applyBorder="1" applyAlignment="1" applyProtection="1">
      <alignment horizontal="left" vertical="center"/>
    </xf>
    <xf numFmtId="10" fontId="39" fillId="45" borderId="35" xfId="43" applyNumberFormat="1" applyFont="1" applyFill="1" applyBorder="1" applyAlignment="1" applyProtection="1">
      <alignment horizontal="right" vertical="center"/>
    </xf>
    <xf numFmtId="170" fontId="39" fillId="0" borderId="0" xfId="45" applyNumberFormat="1" applyFont="1" applyAlignment="1" applyProtection="1">
      <alignment vertical="center"/>
    </xf>
    <xf numFmtId="169" fontId="48" fillId="46" borderId="11" xfId="46" applyNumberFormat="1" applyFont="1" applyFill="1" applyBorder="1" applyAlignment="1" applyProtection="1">
      <alignment vertical="center"/>
    </xf>
    <xf numFmtId="9" fontId="49" fillId="0" borderId="0" xfId="45" applyNumberFormat="1" applyFont="1" applyAlignment="1" applyProtection="1">
      <alignment horizontal="center" vertical="center"/>
    </xf>
    <xf numFmtId="0" fontId="0" fillId="8" borderId="5" xfId="0" applyFill="1" applyBorder="1" applyAlignment="1" applyProtection="1"/>
    <xf numFmtId="0" fontId="0" fillId="8" borderId="8" xfId="0" applyFill="1" applyBorder="1" applyAlignment="1" applyProtection="1">
      <alignment wrapText="1"/>
    </xf>
    <xf numFmtId="3" fontId="0" fillId="8" borderId="8" xfId="0" applyNumberFormat="1" applyFill="1" applyBorder="1" applyAlignment="1" applyProtection="1">
      <alignment wrapText="1"/>
    </xf>
    <xf numFmtId="0" fontId="0" fillId="8" borderId="6" xfId="0" applyFill="1" applyBorder="1" applyAlignment="1" applyProtection="1"/>
    <xf numFmtId="0" fontId="0" fillId="8" borderId="0" xfId="0" applyFill="1" applyBorder="1" applyAlignment="1" applyProtection="1">
      <alignment wrapText="1"/>
    </xf>
    <xf numFmtId="0" fontId="0" fillId="8" borderId="7" xfId="0" applyFill="1" applyBorder="1" applyAlignment="1" applyProtection="1"/>
    <xf numFmtId="0" fontId="0" fillId="8" borderId="17" xfId="0" applyFill="1" applyBorder="1" applyAlignment="1" applyProtection="1">
      <alignment wrapText="1"/>
    </xf>
    <xf numFmtId="3" fontId="0" fillId="8" borderId="17" xfId="0" applyNumberFormat="1" applyFill="1" applyBorder="1" applyAlignment="1" applyProtection="1">
      <alignment wrapText="1"/>
    </xf>
    <xf numFmtId="0" fontId="7" fillId="0" borderId="0" xfId="0" applyFont="1" applyBorder="1" applyProtection="1"/>
    <xf numFmtId="0" fontId="0" fillId="0" borderId="0" xfId="0" applyBorder="1" applyAlignment="1" applyProtection="1">
      <alignment horizontal="right" wrapText="1"/>
    </xf>
    <xf numFmtId="3" fontId="0" fillId="43" borderId="8" xfId="0" applyNumberFormat="1" applyFill="1" applyBorder="1" applyAlignment="1" applyProtection="1">
      <alignment horizontal="right" wrapText="1"/>
    </xf>
    <xf numFmtId="0" fontId="4" fillId="3" borderId="55" xfId="0" applyFont="1" applyFill="1" applyBorder="1" applyAlignment="1" applyProtection="1">
      <alignment horizontal="center" wrapText="1"/>
    </xf>
    <xf numFmtId="0" fontId="5" fillId="3" borderId="30" xfId="0" applyFont="1" applyFill="1" applyBorder="1" applyAlignment="1" applyProtection="1">
      <alignment horizontal="center" wrapText="1"/>
    </xf>
    <xf numFmtId="0" fontId="5" fillId="41" borderId="16" xfId="0" applyFont="1" applyFill="1" applyBorder="1" applyAlignment="1" applyProtection="1">
      <alignment horizontal="center" wrapText="1"/>
    </xf>
    <xf numFmtId="0" fontId="8" fillId="43" borderId="54" xfId="0" applyFont="1" applyFill="1" applyBorder="1" applyAlignment="1" applyProtection="1">
      <alignment horizontal="center" wrapText="1"/>
    </xf>
    <xf numFmtId="0" fontId="0" fillId="3" borderId="1" xfId="0" applyFill="1" applyBorder="1" applyAlignment="1" applyProtection="1"/>
    <xf numFmtId="10" fontId="39" fillId="45" borderId="30" xfId="43" applyNumberFormat="1" applyFont="1" applyFill="1" applyBorder="1" applyAlignment="1" applyProtection="1">
      <alignment horizontal="right" vertical="center"/>
    </xf>
    <xf numFmtId="0" fontId="8" fillId="0" borderId="0" xfId="0" applyFont="1" applyBorder="1" applyAlignment="1" applyProtection="1">
      <alignment horizontal="center" textRotation="90" wrapText="1"/>
    </xf>
    <xf numFmtId="0" fontId="0" fillId="2" borderId="6" xfId="0" applyFill="1" applyBorder="1" applyAlignment="1" applyProtection="1"/>
    <xf numFmtId="0" fontId="0" fillId="3" borderId="1" xfId="0" applyFill="1" applyBorder="1" applyAlignment="1" applyProtection="1">
      <alignment wrapText="1"/>
    </xf>
    <xf numFmtId="0" fontId="0" fillId="6" borderId="1" xfId="0" applyFill="1" applyBorder="1" applyAlignment="1" applyProtection="1"/>
    <xf numFmtId="0" fontId="0" fillId="6" borderId="2" xfId="0" applyFill="1" applyBorder="1" applyAlignment="1" applyProtection="1"/>
    <xf numFmtId="0" fontId="0" fillId="6" borderId="3" xfId="0" applyFill="1" applyBorder="1" applyAlignment="1" applyProtection="1"/>
    <xf numFmtId="165" fontId="3" fillId="0" borderId="0" xfId="0" applyNumberFormat="1" applyFont="1" applyAlignment="1" applyProtection="1">
      <alignment horizontal="center" wrapText="1"/>
    </xf>
    <xf numFmtId="0" fontId="0" fillId="48" borderId="7" xfId="0" applyFill="1" applyBorder="1" applyAlignment="1" applyProtection="1"/>
    <xf numFmtId="0" fontId="0" fillId="48" borderId="17" xfId="0" applyFill="1" applyBorder="1" applyAlignment="1" applyProtection="1">
      <alignment wrapText="1"/>
    </xf>
    <xf numFmtId="0" fontId="0" fillId="48" borderId="18" xfId="0" applyFill="1" applyBorder="1" applyAlignment="1" applyProtection="1">
      <alignment wrapText="1"/>
    </xf>
    <xf numFmtId="169" fontId="35" fillId="0" borderId="39" xfId="0" applyNumberFormat="1" applyFont="1" applyFill="1" applyBorder="1" applyAlignment="1" applyProtection="1">
      <alignment horizontal="right"/>
      <protection locked="0"/>
    </xf>
    <xf numFmtId="169" fontId="35" fillId="0" borderId="35" xfId="0" applyNumberFormat="1" applyFont="1" applyFill="1" applyBorder="1" applyAlignment="1" applyProtection="1">
      <alignment horizontal="right"/>
      <protection locked="0"/>
    </xf>
    <xf numFmtId="169" fontId="35" fillId="0" borderId="46" xfId="0" applyNumberFormat="1" applyFont="1" applyFill="1" applyBorder="1" applyAlignment="1" applyProtection="1">
      <alignment horizontal="right"/>
      <protection locked="0"/>
    </xf>
    <xf numFmtId="0" fontId="0" fillId="0" borderId="0" xfId="0" applyAlignment="1" applyProtection="1">
      <alignment horizontal="center"/>
    </xf>
    <xf numFmtId="0" fontId="0" fillId="0" borderId="0" xfId="0" applyProtection="1"/>
    <xf numFmtId="3" fontId="0" fillId="0" borderId="0" xfId="0" applyNumberFormat="1" applyProtection="1"/>
    <xf numFmtId="0" fontId="28" fillId="0" borderId="0" xfId="0" applyFont="1" applyProtection="1"/>
    <xf numFmtId="0" fontId="11" fillId="0" borderId="0" xfId="0" applyFont="1" applyFill="1" applyAlignment="1" applyProtection="1">
      <alignment horizontal="right"/>
    </xf>
    <xf numFmtId="165" fontId="11" fillId="0" borderId="0" xfId="0" applyNumberFormat="1" applyFont="1" applyFill="1" applyAlignment="1" applyProtection="1">
      <alignment horizontal="right"/>
    </xf>
    <xf numFmtId="0" fontId="11" fillId="0" borderId="0" xfId="0" applyFont="1" applyFill="1" applyAlignment="1" applyProtection="1">
      <alignment horizontal="center"/>
    </xf>
    <xf numFmtId="0" fontId="2" fillId="7" borderId="1" xfId="0" applyFont="1" applyFill="1" applyBorder="1" applyProtection="1"/>
    <xf numFmtId="3" fontId="2" fillId="7" borderId="2" xfId="0" applyNumberFormat="1" applyFont="1" applyFill="1" applyBorder="1" applyAlignment="1" applyProtection="1">
      <alignment horizontal="center"/>
    </xf>
    <xf numFmtId="3" fontId="2" fillId="7" borderId="2" xfId="0" applyNumberFormat="1" applyFont="1" applyFill="1" applyBorder="1" applyProtection="1"/>
    <xf numFmtId="169" fontId="29" fillId="7" borderId="2" xfId="0" applyNumberFormat="1" applyFont="1" applyFill="1" applyBorder="1" applyAlignment="1" applyProtection="1">
      <alignment horizontal="right"/>
    </xf>
    <xf numFmtId="169" fontId="29" fillId="7" borderId="3" xfId="0" applyNumberFormat="1" applyFont="1" applyFill="1" applyBorder="1" applyAlignment="1" applyProtection="1">
      <alignment horizontal="right"/>
    </xf>
    <xf numFmtId="0" fontId="0" fillId="2" borderId="5" xfId="0" applyFill="1" applyBorder="1" applyAlignment="1" applyProtection="1">
      <alignment horizontal="left"/>
    </xf>
    <xf numFmtId="0" fontId="0" fillId="2" borderId="8" xfId="0" applyFill="1" applyBorder="1" applyAlignment="1" applyProtection="1">
      <alignment horizontal="center"/>
    </xf>
    <xf numFmtId="0" fontId="0" fillId="2" borderId="9" xfId="0" applyFill="1" applyBorder="1" applyAlignment="1" applyProtection="1">
      <alignment horizontal="center"/>
    </xf>
    <xf numFmtId="0" fontId="0" fillId="43" borderId="8" xfId="0" applyFill="1" applyBorder="1" applyAlignment="1" applyProtection="1">
      <alignment horizontal="center"/>
    </xf>
    <xf numFmtId="169" fontId="39" fillId="43" borderId="8" xfId="0" applyNumberFormat="1" applyFont="1" applyFill="1" applyBorder="1" applyAlignment="1" applyProtection="1">
      <alignment horizontal="right"/>
    </xf>
    <xf numFmtId="1" fontId="0" fillId="43" borderId="8" xfId="0" applyNumberFormat="1" applyFill="1" applyBorder="1" applyAlignment="1" applyProtection="1">
      <alignment horizontal="center"/>
    </xf>
    <xf numFmtId="169" fontId="39" fillId="43" borderId="9" xfId="0" applyNumberFormat="1" applyFont="1" applyFill="1" applyBorder="1" applyAlignment="1" applyProtection="1">
      <alignment horizontal="right"/>
    </xf>
    <xf numFmtId="0" fontId="0" fillId="43" borderId="0" xfId="0" applyFill="1" applyBorder="1" applyAlignment="1" applyProtection="1">
      <alignment horizontal="center"/>
    </xf>
    <xf numFmtId="169" fontId="39" fillId="43" borderId="0" xfId="0" applyNumberFormat="1" applyFont="1" applyFill="1" applyBorder="1" applyAlignment="1" applyProtection="1">
      <alignment horizontal="right"/>
    </xf>
    <xf numFmtId="1" fontId="0" fillId="43" borderId="0" xfId="0" applyNumberFormat="1" applyFill="1" applyBorder="1" applyAlignment="1" applyProtection="1">
      <alignment horizontal="center"/>
    </xf>
    <xf numFmtId="169" fontId="39" fillId="43" borderId="10" xfId="0" applyNumberFormat="1" applyFont="1" applyFill="1" applyBorder="1" applyAlignment="1" applyProtection="1">
      <alignment horizontal="right"/>
    </xf>
    <xf numFmtId="0" fontId="0" fillId="43" borderId="17" xfId="0" applyFill="1" applyBorder="1" applyAlignment="1" applyProtection="1">
      <alignment horizontal="center"/>
    </xf>
    <xf numFmtId="169" fontId="39" fillId="43" borderId="17" xfId="0" applyNumberFormat="1" applyFont="1" applyFill="1" applyBorder="1" applyAlignment="1" applyProtection="1">
      <alignment horizontal="right"/>
    </xf>
    <xf numFmtId="1" fontId="0" fillId="43" borderId="17" xfId="0" applyNumberFormat="1" applyFill="1" applyBorder="1" applyAlignment="1" applyProtection="1">
      <alignment horizontal="center"/>
    </xf>
    <xf numFmtId="169" fontId="39" fillId="43" borderId="18" xfId="0" applyNumberFormat="1" applyFont="1" applyFill="1" applyBorder="1" applyAlignment="1" applyProtection="1">
      <alignment horizontal="right"/>
    </xf>
    <xf numFmtId="0" fontId="0" fillId="0" borderId="0" xfId="0" applyBorder="1" applyProtection="1"/>
    <xf numFmtId="0" fontId="1" fillId="0" borderId="0" xfId="0" applyFont="1" applyAlignment="1" applyProtection="1">
      <alignment horizontal="left"/>
    </xf>
    <xf numFmtId="0" fontId="2" fillId="7" borderId="1" xfId="0" applyFont="1" applyFill="1" applyBorder="1" applyAlignment="1" applyProtection="1">
      <alignment horizontal="center"/>
    </xf>
    <xf numFmtId="0" fontId="2" fillId="7" borderId="2" xfId="0" applyFont="1" applyFill="1" applyBorder="1" applyAlignment="1" applyProtection="1">
      <alignment horizontal="center"/>
    </xf>
    <xf numFmtId="0" fontId="2" fillId="7" borderId="8" xfId="0" applyFont="1" applyFill="1" applyBorder="1" applyAlignment="1" applyProtection="1">
      <alignment horizontal="center"/>
    </xf>
    <xf numFmtId="0" fontId="2" fillId="2" borderId="41" xfId="0" applyFont="1" applyFill="1" applyBorder="1" applyAlignment="1" applyProtection="1">
      <alignment horizontal="center" wrapText="1"/>
    </xf>
    <xf numFmtId="0" fontId="2" fillId="2" borderId="6" xfId="0" applyFont="1" applyFill="1" applyBorder="1" applyAlignment="1" applyProtection="1">
      <alignment horizontal="center" wrapText="1"/>
    </xf>
    <xf numFmtId="0" fontId="2" fillId="2" borderId="5" xfId="0" applyFont="1" applyFill="1" applyBorder="1" applyAlignment="1" applyProtection="1">
      <alignment horizontal="center" wrapText="1"/>
    </xf>
    <xf numFmtId="0" fontId="2" fillId="2" borderId="9" xfId="0" applyFont="1" applyFill="1" applyBorder="1" applyAlignment="1" applyProtection="1">
      <alignment horizontal="center" wrapText="1"/>
    </xf>
    <xf numFmtId="0" fontId="0" fillId="43" borderId="5" xfId="0" applyFill="1" applyBorder="1" applyAlignment="1" applyProtection="1">
      <alignment horizontal="center" wrapText="1"/>
    </xf>
    <xf numFmtId="0" fontId="0" fillId="43" borderId="9" xfId="0" applyFill="1" applyBorder="1" applyAlignment="1" applyProtection="1">
      <alignment wrapText="1"/>
    </xf>
    <xf numFmtId="0" fontId="0" fillId="43" borderId="6" xfId="0" applyFill="1" applyBorder="1" applyAlignment="1" applyProtection="1">
      <alignment horizontal="center" wrapText="1"/>
    </xf>
    <xf numFmtId="0" fontId="0" fillId="43" borderId="10" xfId="0" applyFill="1" applyBorder="1" applyAlignment="1" applyProtection="1">
      <alignment wrapText="1"/>
    </xf>
    <xf numFmtId="0" fontId="2" fillId="43" borderId="6" xfId="0" applyFont="1" applyFill="1" applyBorder="1" applyAlignment="1" applyProtection="1">
      <alignment horizontal="center"/>
    </xf>
    <xf numFmtId="0" fontId="2" fillId="43" borderId="0" xfId="0" applyFont="1" applyFill="1" applyBorder="1" applyProtection="1"/>
    <xf numFmtId="3" fontId="36" fillId="43" borderId="10" xfId="0" applyNumberFormat="1" applyFont="1" applyFill="1" applyBorder="1" applyProtection="1"/>
    <xf numFmtId="0" fontId="0" fillId="43" borderId="6" xfId="0" applyFill="1" applyBorder="1" applyAlignment="1" applyProtection="1">
      <alignment horizontal="center"/>
    </xf>
    <xf numFmtId="3" fontId="5" fillId="43" borderId="0" xfId="0" applyNumberFormat="1" applyFont="1" applyFill="1" applyBorder="1" applyProtection="1"/>
    <xf numFmtId="0" fontId="0" fillId="43" borderId="7" xfId="0" applyFill="1" applyBorder="1" applyAlignment="1" applyProtection="1">
      <alignment horizontal="center"/>
    </xf>
    <xf numFmtId="3" fontId="5" fillId="43" borderId="17" xfId="0" applyNumberFormat="1" applyFont="1" applyFill="1" applyBorder="1" applyProtection="1"/>
    <xf numFmtId="0" fontId="2" fillId="0" borderId="5" xfId="0" applyFont="1" applyBorder="1" applyAlignment="1" applyProtection="1">
      <alignment horizontal="center"/>
    </xf>
    <xf numFmtId="0" fontId="2" fillId="0" borderId="8" xfId="0" applyFont="1" applyBorder="1" applyAlignment="1" applyProtection="1">
      <alignment horizontal="center" wrapText="1"/>
    </xf>
    <xf numFmtId="0" fontId="0" fillId="0" borderId="9" xfId="0" applyBorder="1" applyAlignment="1" applyProtection="1">
      <alignment horizontal="center"/>
    </xf>
    <xf numFmtId="0" fontId="0" fillId="43" borderId="10" xfId="0" applyFill="1" applyBorder="1" applyAlignment="1" applyProtection="1">
      <alignment horizontal="center"/>
    </xf>
    <xf numFmtId="3" fontId="39" fillId="43" borderId="0" xfId="0" applyNumberFormat="1" applyFont="1" applyFill="1" applyBorder="1" applyAlignment="1" applyProtection="1">
      <alignment horizontal="center"/>
    </xf>
    <xf numFmtId="3" fontId="39" fillId="43" borderId="17" xfId="0" applyNumberFormat="1" applyFont="1" applyFill="1" applyBorder="1" applyAlignment="1" applyProtection="1">
      <alignment horizontal="center"/>
    </xf>
    <xf numFmtId="0" fontId="36" fillId="0" borderId="0" xfId="0" applyFont="1" applyProtection="1"/>
    <xf numFmtId="0" fontId="0" fillId="0" borderId="5" xfId="0" applyBorder="1" applyAlignment="1" applyProtection="1">
      <alignment wrapText="1"/>
    </xf>
    <xf numFmtId="0" fontId="0" fillId="0" borderId="8" xfId="0" applyBorder="1" applyAlignment="1" applyProtection="1">
      <alignment wrapText="1"/>
    </xf>
    <xf numFmtId="0" fontId="0" fillId="0" borderId="9" xfId="0" applyBorder="1" applyAlignment="1" applyProtection="1">
      <alignment wrapText="1"/>
    </xf>
    <xf numFmtId="0" fontId="0" fillId="0" borderId="5" xfId="0" applyBorder="1" applyProtection="1"/>
    <xf numFmtId="169" fontId="39" fillId="0" borderId="8" xfId="0" applyNumberFormat="1" applyFont="1" applyFill="1" applyBorder="1" applyAlignment="1" applyProtection="1">
      <alignment horizontal="right"/>
    </xf>
    <xf numFmtId="0" fontId="0" fillId="0" borderId="7" xfId="0" applyBorder="1" applyProtection="1"/>
    <xf numFmtId="169" fontId="39" fillId="0" borderId="17" xfId="0" applyNumberFormat="1" applyFont="1" applyFill="1" applyBorder="1" applyAlignment="1" applyProtection="1">
      <alignment horizontal="right"/>
    </xf>
    <xf numFmtId="0" fontId="0" fillId="7" borderId="7" xfId="0" applyFill="1" applyBorder="1" applyProtection="1"/>
    <xf numFmtId="169" fontId="39" fillId="7" borderId="17" xfId="0" applyNumberFormat="1" applyFont="1" applyFill="1" applyBorder="1" applyAlignment="1" applyProtection="1">
      <alignment horizontal="right"/>
    </xf>
    <xf numFmtId="169" fontId="39" fillId="7" borderId="18" xfId="0" applyNumberFormat="1" applyFont="1" applyFill="1" applyBorder="1" applyAlignment="1" applyProtection="1">
      <alignment horizontal="right"/>
    </xf>
    <xf numFmtId="0" fontId="2" fillId="0" borderId="0" xfId="0" applyFont="1" applyProtection="1"/>
    <xf numFmtId="169" fontId="35" fillId="0" borderId="50" xfId="0" applyNumberFormat="1" applyFont="1" applyFill="1" applyBorder="1" applyAlignment="1" applyProtection="1">
      <alignment horizontal="right"/>
      <protection locked="0"/>
    </xf>
    <xf numFmtId="169" fontId="35" fillId="0" borderId="51" xfId="0" applyNumberFormat="1" applyFont="1" applyFill="1" applyBorder="1" applyAlignment="1" applyProtection="1">
      <alignment horizontal="right"/>
      <protection locked="0"/>
    </xf>
    <xf numFmtId="0" fontId="0" fillId="7" borderId="1" xfId="0" applyFill="1" applyBorder="1" applyProtection="1"/>
    <xf numFmtId="0" fontId="0" fillId="7" borderId="2" xfId="0" applyFill="1" applyBorder="1" applyProtection="1"/>
    <xf numFmtId="0" fontId="0" fillId="2" borderId="48" xfId="0" applyFill="1" applyBorder="1" applyAlignment="1" applyProtection="1">
      <alignment horizontal="center" wrapText="1"/>
    </xf>
    <xf numFmtId="0" fontId="0" fillId="2" borderId="37" xfId="0" applyFill="1" applyBorder="1" applyAlignment="1" applyProtection="1">
      <alignment horizontal="left" wrapText="1"/>
    </xf>
    <xf numFmtId="0" fontId="0" fillId="2" borderId="49" xfId="0" applyFill="1" applyBorder="1" applyAlignment="1" applyProtection="1">
      <alignment horizontal="center" wrapText="1"/>
    </xf>
    <xf numFmtId="169" fontId="35" fillId="6" borderId="35" xfId="0" applyNumberFormat="1" applyFont="1" applyFill="1" applyBorder="1" applyAlignment="1" applyProtection="1">
      <alignment horizontal="right"/>
      <protection locked="0"/>
    </xf>
    <xf numFmtId="0" fontId="0" fillId="0" borderId="0" xfId="0" applyAlignment="1" applyProtection="1">
      <alignment horizontal="right"/>
    </xf>
    <xf numFmtId="3" fontId="0" fillId="0" borderId="0" xfId="0" applyNumberFormat="1" applyAlignment="1" applyProtection="1">
      <alignment horizontal="right"/>
    </xf>
    <xf numFmtId="3" fontId="2" fillId="7" borderId="2" xfId="0" applyNumberFormat="1" applyFont="1" applyFill="1" applyBorder="1" applyAlignment="1" applyProtection="1">
      <alignment horizontal="right"/>
    </xf>
    <xf numFmtId="0" fontId="0" fillId="2" borderId="1" xfId="0" applyFill="1" applyBorder="1" applyAlignment="1" applyProtection="1">
      <alignment horizontal="center"/>
    </xf>
    <xf numFmtId="0" fontId="0" fillId="2" borderId="2" xfId="0" applyFill="1" applyBorder="1" applyAlignment="1" applyProtection="1">
      <alignment horizontal="right"/>
    </xf>
    <xf numFmtId="0" fontId="0" fillId="2" borderId="2" xfId="0" applyFill="1" applyBorder="1" applyAlignment="1" applyProtection="1">
      <alignment horizontal="center"/>
    </xf>
    <xf numFmtId="0" fontId="0" fillId="2" borderId="3" xfId="0" applyFill="1" applyBorder="1" applyAlignment="1" applyProtection="1">
      <alignment horizontal="center"/>
    </xf>
    <xf numFmtId="0" fontId="0" fillId="43" borderId="5" xfId="0" applyFill="1" applyBorder="1" applyAlignment="1" applyProtection="1">
      <alignment horizontal="center"/>
    </xf>
    <xf numFmtId="0" fontId="0" fillId="2" borderId="7" xfId="0" applyFill="1" applyBorder="1" applyAlignment="1" applyProtection="1">
      <alignment horizontal="center"/>
    </xf>
    <xf numFmtId="0" fontId="0" fillId="2" borderId="17" xfId="0" applyFill="1" applyBorder="1" applyAlignment="1" applyProtection="1">
      <alignment horizontal="center"/>
    </xf>
    <xf numFmtId="0" fontId="0" fillId="2" borderId="18" xfId="0" applyFill="1" applyBorder="1" applyAlignment="1" applyProtection="1">
      <alignment horizontal="center"/>
    </xf>
    <xf numFmtId="3" fontId="35" fillId="0" borderId="35" xfId="0" applyNumberFormat="1" applyFont="1" applyFill="1" applyBorder="1" applyAlignment="1" applyProtection="1">
      <alignment horizontal="right"/>
      <protection locked="0"/>
    </xf>
    <xf numFmtId="0" fontId="5" fillId="40" borderId="5" xfId="0" applyFont="1" applyFill="1" applyBorder="1" applyProtection="1"/>
    <xf numFmtId="165" fontId="5" fillId="40" borderId="8" xfId="0" applyNumberFormat="1" applyFont="1" applyFill="1" applyBorder="1" applyProtection="1"/>
    <xf numFmtId="0" fontId="5" fillId="40" borderId="8" xfId="0" applyFont="1" applyFill="1" applyBorder="1" applyProtection="1"/>
    <xf numFmtId="0" fontId="0" fillId="0" borderId="8" xfId="0" applyBorder="1" applyProtection="1"/>
    <xf numFmtId="0" fontId="0" fillId="0" borderId="9" xfId="0" applyBorder="1" applyProtection="1"/>
    <xf numFmtId="2" fontId="0" fillId="0" borderId="7" xfId="0" applyNumberFormat="1" applyBorder="1" applyAlignment="1" applyProtection="1">
      <alignment wrapText="1"/>
    </xf>
    <xf numFmtId="2" fontId="0" fillId="0" borderId="17" xfId="0" applyNumberFormat="1" applyBorder="1" applyAlignment="1" applyProtection="1">
      <alignment wrapText="1"/>
    </xf>
    <xf numFmtId="2" fontId="0" fillId="0" borderId="17" xfId="0" applyNumberFormat="1" applyBorder="1" applyAlignment="1" applyProtection="1">
      <alignment horizontal="right" wrapText="1"/>
    </xf>
    <xf numFmtId="2" fontId="0" fillId="0" borderId="18" xfId="0" applyNumberFormat="1" applyBorder="1" applyAlignment="1" applyProtection="1">
      <alignment horizontal="right" wrapText="1"/>
    </xf>
    <xf numFmtId="2" fontId="0" fillId="0" borderId="0" xfId="0" applyNumberFormat="1" applyAlignment="1" applyProtection="1">
      <alignment wrapText="1"/>
    </xf>
    <xf numFmtId="168" fontId="35" fillId="0" borderId="38" xfId="0" applyNumberFormat="1" applyFont="1" applyBorder="1" applyAlignment="1" applyProtection="1">
      <alignment horizontal="left"/>
    </xf>
    <xf numFmtId="169" fontId="39" fillId="43" borderId="39" xfId="0" applyNumberFormat="1" applyFont="1" applyFill="1" applyBorder="1" applyAlignment="1" applyProtection="1">
      <alignment horizontal="right"/>
    </xf>
    <xf numFmtId="3" fontId="0" fillId="43" borderId="39" xfId="0" applyNumberFormat="1" applyFill="1" applyBorder="1" applyProtection="1"/>
    <xf numFmtId="171" fontId="0" fillId="43" borderId="40" xfId="0" applyNumberFormat="1" applyFill="1" applyBorder="1" applyProtection="1"/>
    <xf numFmtId="168" fontId="35" fillId="0" borderId="32" xfId="0" applyNumberFormat="1" applyFont="1" applyBorder="1" applyAlignment="1" applyProtection="1">
      <alignment horizontal="left"/>
    </xf>
    <xf numFmtId="169" fontId="39" fillId="43" borderId="35" xfId="0" applyNumberFormat="1" applyFont="1" applyFill="1" applyBorder="1" applyAlignment="1" applyProtection="1">
      <alignment horizontal="right"/>
    </xf>
    <xf numFmtId="3" fontId="0" fillId="43" borderId="31" xfId="0" applyNumberFormat="1" applyFill="1" applyBorder="1" applyProtection="1"/>
    <xf numFmtId="171" fontId="0" fillId="43" borderId="50" xfId="0" applyNumberFormat="1" applyFill="1" applyBorder="1" applyProtection="1"/>
    <xf numFmtId="168" fontId="35" fillId="0" borderId="33" xfId="0" applyNumberFormat="1" applyFont="1" applyBorder="1" applyAlignment="1" applyProtection="1">
      <alignment horizontal="left"/>
    </xf>
    <xf numFmtId="169" fontId="39" fillId="43" borderId="46" xfId="0" applyNumberFormat="1" applyFont="1" applyFill="1" applyBorder="1" applyAlignment="1" applyProtection="1">
      <alignment horizontal="right"/>
    </xf>
    <xf numFmtId="3" fontId="0" fillId="43" borderId="34" xfId="0" applyNumberFormat="1" applyFill="1" applyBorder="1" applyProtection="1"/>
    <xf numFmtId="171" fontId="0" fillId="43" borderId="51" xfId="0" applyNumberFormat="1" applyFill="1" applyBorder="1" applyProtection="1"/>
    <xf numFmtId="2" fontId="36" fillId="0" borderId="54" xfId="0" applyNumberFormat="1" applyFont="1" applyBorder="1" applyAlignment="1" applyProtection="1">
      <alignment vertical="center" wrapText="1"/>
    </xf>
    <xf numFmtId="169" fontId="39" fillId="5" borderId="52" xfId="0" applyNumberFormat="1" applyFont="1" applyFill="1" applyBorder="1" applyAlignment="1" applyProtection="1">
      <alignment horizontal="right" vertical="center"/>
    </xf>
    <xf numFmtId="3" fontId="0" fillId="5" borderId="52" xfId="0" applyNumberFormat="1" applyFill="1" applyBorder="1" applyAlignment="1" applyProtection="1">
      <alignment vertical="center"/>
    </xf>
    <xf numFmtId="171" fontId="39" fillId="8" borderId="53" xfId="0" applyNumberFormat="1" applyFont="1" applyFill="1" applyBorder="1" applyAlignment="1" applyProtection="1">
      <alignment vertical="center"/>
    </xf>
    <xf numFmtId="0" fontId="0" fillId="43" borderId="38" xfId="0" applyFill="1" applyBorder="1" applyAlignment="1" applyProtection="1">
      <alignment horizontal="left"/>
    </xf>
    <xf numFmtId="171" fontId="39" fillId="8" borderId="40" xfId="0" applyNumberFormat="1" applyFont="1" applyFill="1" applyBorder="1" applyAlignment="1" applyProtection="1">
      <alignment vertical="center"/>
    </xf>
    <xf numFmtId="0" fontId="0" fillId="43" borderId="32" xfId="0" applyFill="1" applyBorder="1" applyAlignment="1" applyProtection="1">
      <alignment horizontal="left"/>
    </xf>
    <xf numFmtId="171" fontId="0" fillId="43" borderId="50" xfId="0" applyNumberFormat="1" applyFill="1" applyBorder="1" applyAlignment="1" applyProtection="1">
      <alignment vertical="center"/>
    </xf>
    <xf numFmtId="171" fontId="39" fillId="8" borderId="50" xfId="0" applyNumberFormat="1" applyFont="1" applyFill="1" applyBorder="1" applyAlignment="1" applyProtection="1">
      <alignment vertical="center"/>
    </xf>
    <xf numFmtId="0" fontId="0" fillId="43" borderId="33" xfId="0" applyFill="1" applyBorder="1" applyAlignment="1" applyProtection="1">
      <alignment horizontal="left"/>
    </xf>
    <xf numFmtId="171" fontId="0" fillId="43" borderId="51" xfId="0" applyNumberFormat="1" applyFill="1" applyBorder="1" applyAlignment="1" applyProtection="1">
      <alignment vertical="center"/>
    </xf>
    <xf numFmtId="169" fontId="39" fillId="5" borderId="35" xfId="0" applyNumberFormat="1" applyFont="1" applyFill="1" applyBorder="1" applyAlignment="1" applyProtection="1">
      <alignment horizontal="right"/>
      <protection locked="0"/>
    </xf>
    <xf numFmtId="169" fontId="39" fillId="5" borderId="46" xfId="0" applyNumberFormat="1" applyFont="1" applyFill="1" applyBorder="1" applyAlignment="1" applyProtection="1">
      <alignment horizontal="right"/>
      <protection locked="0"/>
    </xf>
    <xf numFmtId="0" fontId="5" fillId="40" borderId="0" xfId="0" applyFont="1" applyFill="1" applyProtection="1"/>
    <xf numFmtId="0" fontId="2" fillId="0" borderId="1" xfId="0" applyFont="1" applyBorder="1" applyProtection="1"/>
    <xf numFmtId="0" fontId="2" fillId="0" borderId="2" xfId="0" applyFont="1" applyBorder="1" applyAlignment="1" applyProtection="1">
      <alignment horizontal="center" wrapText="1"/>
    </xf>
    <xf numFmtId="0" fontId="2" fillId="0" borderId="3" xfId="0" applyFont="1" applyBorder="1" applyAlignment="1" applyProtection="1">
      <alignment horizontal="center" wrapText="1"/>
    </xf>
    <xf numFmtId="166" fontId="0" fillId="6" borderId="36" xfId="0" applyNumberFormat="1" applyFill="1" applyBorder="1" applyAlignment="1" applyProtection="1">
      <alignment horizontal="left"/>
    </xf>
    <xf numFmtId="169" fontId="39" fillId="6" borderId="50" xfId="0" applyNumberFormat="1" applyFont="1" applyFill="1" applyBorder="1" applyAlignment="1" applyProtection="1">
      <alignment horizontal="right"/>
    </xf>
    <xf numFmtId="166" fontId="0" fillId="6" borderId="32" xfId="0" applyNumberFormat="1" applyFill="1" applyBorder="1" applyAlignment="1" applyProtection="1">
      <alignment horizontal="left"/>
    </xf>
    <xf numFmtId="167" fontId="39" fillId="5" borderId="32" xfId="0" applyNumberFormat="1" applyFont="1" applyFill="1" applyBorder="1" applyAlignment="1" applyProtection="1">
      <alignment horizontal="left"/>
    </xf>
    <xf numFmtId="169" fontId="39" fillId="5" borderId="50" xfId="0" applyNumberFormat="1" applyFont="1" applyFill="1" applyBorder="1" applyAlignment="1" applyProtection="1">
      <alignment horizontal="right"/>
    </xf>
    <xf numFmtId="167" fontId="39" fillId="5" borderId="33" xfId="0" applyNumberFormat="1" applyFont="1" applyFill="1" applyBorder="1" applyAlignment="1" applyProtection="1">
      <alignment horizontal="left"/>
    </xf>
    <xf numFmtId="169" fontId="39" fillId="5" borderId="51" xfId="0" applyNumberFormat="1" applyFont="1" applyFill="1" applyBorder="1" applyAlignment="1" applyProtection="1">
      <alignment horizontal="right"/>
    </xf>
    <xf numFmtId="167" fontId="0" fillId="4" borderId="1" xfId="0" applyNumberFormat="1" applyFill="1" applyBorder="1" applyAlignment="1" applyProtection="1">
      <alignment horizontal="left"/>
    </xf>
    <xf numFmtId="169" fontId="39" fillId="4" borderId="52" xfId="0" applyNumberFormat="1" applyFont="1" applyFill="1" applyBorder="1" applyAlignment="1" applyProtection="1">
      <alignment horizontal="right"/>
    </xf>
    <xf numFmtId="169" fontId="39" fillId="4" borderId="53" xfId="0" applyNumberFormat="1" applyFont="1" applyFill="1" applyBorder="1" applyAlignment="1" applyProtection="1">
      <alignment horizontal="right"/>
    </xf>
    <xf numFmtId="169" fontId="39" fillId="43" borderId="50" xfId="0" applyNumberFormat="1" applyFont="1" applyFill="1" applyBorder="1" applyAlignment="1" applyProtection="1">
      <alignment horizontal="right"/>
    </xf>
    <xf numFmtId="0" fontId="0" fillId="43" borderId="36" xfId="0" applyFill="1" applyBorder="1" applyAlignment="1" applyProtection="1">
      <alignment horizontal="left"/>
    </xf>
    <xf numFmtId="0" fontId="0" fillId="43" borderId="42" xfId="0" applyFill="1" applyBorder="1" applyAlignment="1" applyProtection="1">
      <alignment horizontal="left"/>
    </xf>
    <xf numFmtId="169" fontId="39" fillId="43" borderId="51" xfId="0" applyNumberFormat="1" applyFont="1" applyFill="1" applyBorder="1" applyAlignment="1" applyProtection="1">
      <alignment horizontal="right"/>
    </xf>
    <xf numFmtId="169" fontId="39" fillId="41" borderId="18" xfId="0" applyNumberFormat="1" applyFont="1" applyFill="1" applyBorder="1" applyAlignment="1" applyProtection="1">
      <alignment horizontal="right"/>
    </xf>
    <xf numFmtId="169" fontId="29" fillId="43" borderId="52" xfId="0" applyNumberFormat="1" applyFont="1" applyFill="1" applyBorder="1" applyAlignment="1" applyProtection="1">
      <alignment horizontal="right"/>
    </xf>
    <xf numFmtId="169" fontId="29" fillId="47" borderId="52" xfId="0" applyNumberFormat="1" applyFont="1" applyFill="1" applyBorder="1" applyAlignment="1" applyProtection="1">
      <alignment horizontal="right"/>
    </xf>
    <xf numFmtId="169" fontId="29" fillId="43" borderId="53" xfId="0" applyNumberFormat="1" applyFont="1" applyFill="1" applyBorder="1" applyAlignment="1" applyProtection="1">
      <alignment horizontal="right"/>
    </xf>
    <xf numFmtId="169" fontId="39" fillId="2" borderId="10" xfId="0" applyNumberFormat="1" applyFont="1" applyFill="1" applyBorder="1" applyAlignment="1" applyProtection="1">
      <alignment horizontal="right"/>
    </xf>
    <xf numFmtId="172" fontId="29" fillId="3" borderId="3" xfId="0" applyNumberFormat="1" applyFont="1" applyFill="1" applyBorder="1" applyAlignment="1" applyProtection="1">
      <alignment horizontal="right"/>
    </xf>
    <xf numFmtId="169" fontId="29" fillId="3" borderId="3" xfId="0" applyNumberFormat="1" applyFont="1" applyFill="1" applyBorder="1" applyAlignment="1" applyProtection="1">
      <alignment horizontal="right"/>
    </xf>
    <xf numFmtId="169" fontId="29" fillId="3" borderId="43" xfId="0" applyNumberFormat="1" applyFont="1" applyFill="1" applyBorder="1" applyAlignment="1" applyProtection="1">
      <alignment horizontal="right"/>
    </xf>
    <xf numFmtId="169" fontId="39" fillId="48" borderId="56" xfId="0" applyNumberFormat="1" applyFont="1" applyFill="1" applyBorder="1" applyAlignment="1" applyProtection="1">
      <alignment horizontal="right"/>
    </xf>
    <xf numFmtId="169" fontId="29" fillId="47" borderId="43" xfId="0" applyNumberFormat="1" applyFont="1" applyFill="1" applyBorder="1" applyAlignment="1" applyProtection="1">
      <alignment horizontal="right"/>
    </xf>
    <xf numFmtId="169" fontId="39" fillId="45" borderId="31" xfId="0" applyNumberFormat="1" applyFont="1" applyFill="1" applyBorder="1" applyAlignment="1" applyProtection="1">
      <alignment horizontal="right"/>
    </xf>
    <xf numFmtId="169" fontId="36" fillId="8" borderId="9" xfId="0" applyNumberFormat="1" applyFont="1" applyFill="1" applyBorder="1" applyAlignment="1" applyProtection="1">
      <alignment horizontal="right"/>
      <protection locked="0"/>
    </xf>
    <xf numFmtId="169" fontId="36" fillId="8" borderId="10" xfId="0" applyNumberFormat="1" applyFont="1" applyFill="1" applyBorder="1" applyAlignment="1" applyProtection="1">
      <alignment horizontal="right"/>
      <protection locked="0"/>
    </xf>
    <xf numFmtId="169" fontId="36" fillId="8" borderId="18" xfId="0" applyNumberFormat="1" applyFont="1" applyFill="1" applyBorder="1" applyAlignment="1" applyProtection="1">
      <alignment horizontal="right"/>
      <protection locked="0"/>
    </xf>
    <xf numFmtId="169" fontId="36" fillId="8" borderId="43" xfId="0" applyNumberFormat="1" applyFont="1" applyFill="1" applyBorder="1" applyAlignment="1" applyProtection="1">
      <alignment horizontal="right"/>
      <protection locked="0"/>
    </xf>
    <xf numFmtId="169" fontId="36" fillId="8" borderId="41" xfId="0" applyNumberFormat="1" applyFont="1" applyFill="1" applyBorder="1" applyAlignment="1" applyProtection="1">
      <alignment horizontal="right"/>
      <protection locked="0"/>
    </xf>
    <xf numFmtId="169" fontId="36" fillId="8" borderId="4" xfId="0" applyNumberFormat="1" applyFont="1" applyFill="1" applyBorder="1" applyAlignment="1" applyProtection="1">
      <alignment horizontal="right"/>
      <protection locked="0"/>
    </xf>
    <xf numFmtId="0" fontId="43" fillId="0" borderId="1" xfId="0" applyFont="1" applyBorder="1" applyAlignment="1" applyProtection="1">
      <alignment horizontal="left" vertical="top" wrapText="1" indent="1"/>
    </xf>
    <xf numFmtId="0" fontId="41" fillId="5" borderId="1" xfId="0" applyFont="1" applyFill="1" applyBorder="1" applyAlignment="1" applyProtection="1">
      <alignment horizontal="left" vertical="top" wrapText="1" indent="1"/>
    </xf>
    <xf numFmtId="0" fontId="44" fillId="0" borderId="0" xfId="44" applyProtection="1"/>
    <xf numFmtId="0" fontId="3" fillId="0" borderId="0" xfId="0" applyFont="1" applyProtection="1"/>
    <xf numFmtId="0" fontId="44" fillId="0" borderId="0" xfId="44" applyAlignment="1" applyProtection="1">
      <alignment horizontal="left" indent="1"/>
    </xf>
    <xf numFmtId="0" fontId="0" fillId="0" borderId="0" xfId="0" applyAlignment="1" applyProtection="1">
      <alignment horizontal="left" indent="1"/>
    </xf>
    <xf numFmtId="0" fontId="0" fillId="5" borderId="3" xfId="0" applyFont="1" applyFill="1" applyBorder="1" applyAlignment="1" applyProtection="1">
      <alignment vertical="top" wrapText="1"/>
    </xf>
    <xf numFmtId="0" fontId="50" fillId="0" borderId="48" xfId="0" applyFont="1" applyBorder="1" applyAlignment="1" applyProtection="1">
      <alignment horizontal="left" wrapText="1" indent="1"/>
    </xf>
    <xf numFmtId="0" fontId="47" fillId="0" borderId="49" xfId="44" applyFont="1" applyBorder="1" applyAlignment="1" applyProtection="1">
      <alignment vertical="top" wrapText="1"/>
    </xf>
    <xf numFmtId="0" fontId="50" fillId="0" borderId="57" xfId="0" applyFont="1" applyBorder="1" applyAlignment="1" applyProtection="1">
      <alignment horizontal="left" wrapText="1" indent="1"/>
    </xf>
    <xf numFmtId="0" fontId="47" fillId="0" borderId="58" xfId="44" applyFont="1" applyBorder="1" applyAlignment="1" applyProtection="1">
      <alignment vertical="top" wrapText="1"/>
    </xf>
    <xf numFmtId="0" fontId="50" fillId="0" borderId="57" xfId="0" applyFont="1" applyBorder="1" applyAlignment="1" applyProtection="1">
      <alignment horizontal="left" vertical="top" wrapText="1" indent="1"/>
    </xf>
    <xf numFmtId="0" fontId="51" fillId="0" borderId="57" xfId="0" applyFont="1" applyBorder="1" applyAlignment="1" applyProtection="1">
      <alignment horizontal="left" vertical="top" wrapText="1" indent="1"/>
    </xf>
    <xf numFmtId="0" fontId="51" fillId="0" borderId="6" xfId="0" applyFont="1" applyBorder="1" applyAlignment="1" applyProtection="1">
      <alignment horizontal="left" vertical="top" wrapText="1" indent="1"/>
    </xf>
    <xf numFmtId="0" fontId="47" fillId="0" borderId="10" xfId="44" applyFont="1" applyBorder="1" applyAlignment="1" applyProtection="1">
      <alignment vertical="top" wrapText="1"/>
    </xf>
    <xf numFmtId="0" fontId="50" fillId="5" borderId="6" xfId="0" applyFont="1" applyFill="1" applyBorder="1" applyAlignment="1" applyProtection="1">
      <alignment horizontal="left" wrapText="1" indent="1"/>
    </xf>
    <xf numFmtId="0" fontId="0" fillId="5" borderId="6" xfId="0" applyFill="1" applyBorder="1" applyAlignment="1" applyProtection="1">
      <alignment horizontal="left" vertical="top" wrapText="1" indent="1"/>
    </xf>
    <xf numFmtId="0" fontId="0" fillId="5" borderId="7" xfId="0" applyFill="1" applyBorder="1" applyAlignment="1" applyProtection="1">
      <alignment horizontal="left" vertical="top" wrapText="1" indent="1"/>
    </xf>
    <xf numFmtId="0" fontId="3" fillId="5" borderId="10" xfId="0" applyFont="1" applyFill="1" applyBorder="1" applyProtection="1"/>
    <xf numFmtId="0" fontId="3" fillId="5" borderId="18" xfId="0" applyFont="1" applyFill="1" applyBorder="1" applyProtection="1"/>
    <xf numFmtId="0" fontId="2" fillId="7" borderId="2" xfId="0" applyFont="1" applyFill="1" applyBorder="1" applyProtection="1"/>
    <xf numFmtId="0" fontId="0" fillId="2" borderId="48" xfId="0" applyFont="1" applyFill="1" applyBorder="1" applyAlignment="1" applyProtection="1">
      <alignment horizontal="left" wrapText="1"/>
    </xf>
    <xf numFmtId="0" fontId="0" fillId="2" borderId="37" xfId="0" applyFont="1" applyFill="1" applyBorder="1" applyAlignment="1" applyProtection="1">
      <alignment horizontal="left" wrapText="1"/>
    </xf>
    <xf numFmtId="0" fontId="0" fillId="2" borderId="37" xfId="0" applyFont="1" applyFill="1" applyBorder="1" applyAlignment="1" applyProtection="1">
      <alignment horizontal="center" wrapText="1"/>
    </xf>
    <xf numFmtId="0" fontId="0" fillId="2" borderId="49" xfId="0" applyFont="1" applyFill="1" applyBorder="1" applyAlignment="1" applyProtection="1">
      <alignment horizontal="left" wrapText="1"/>
    </xf>
    <xf numFmtId="0" fontId="0" fillId="43" borderId="0" xfId="0" applyFill="1" applyBorder="1" applyProtection="1"/>
    <xf numFmtId="0" fontId="0" fillId="43" borderId="17" xfId="0" applyFill="1" applyBorder="1" applyProtection="1"/>
    <xf numFmtId="10" fontId="5" fillId="40" borderId="0" xfId="0" applyNumberFormat="1" applyFont="1" applyFill="1" applyProtection="1"/>
    <xf numFmtId="0" fontId="0" fillId="0" borderId="0" xfId="0" applyAlignment="1" applyProtection="1">
      <alignment wrapText="1"/>
    </xf>
    <xf numFmtId="0" fontId="9" fillId="0" borderId="3" xfId="0" applyFont="1" applyBorder="1" applyAlignment="1" applyProtection="1">
      <alignment horizontal="right" vertical="top" wrapText="1"/>
    </xf>
    <xf numFmtId="0" fontId="29" fillId="46" borderId="12" xfId="45" applyFont="1" applyFill="1" applyBorder="1" applyAlignment="1" applyProtection="1">
      <alignment horizontal="left" vertical="center" indent="1"/>
    </xf>
    <xf numFmtId="0" fontId="29" fillId="46" borderId="13" xfId="45" applyFont="1" applyFill="1" applyBorder="1" applyAlignment="1" applyProtection="1">
      <alignment horizontal="left" vertical="center" indent="1"/>
    </xf>
    <xf numFmtId="0" fontId="29" fillId="46" borderId="14" xfId="45" applyFont="1" applyFill="1" applyBorder="1" applyAlignment="1" applyProtection="1">
      <alignment horizontal="left" vertical="center" indent="1"/>
    </xf>
    <xf numFmtId="0" fontId="8" fillId="5" borderId="5" xfId="0" applyFont="1" applyFill="1" applyBorder="1" applyAlignment="1" applyProtection="1">
      <alignment horizontal="center" vertical="center" textRotation="90" wrapText="1"/>
    </xf>
    <xf numFmtId="0" fontId="8" fillId="0" borderId="6" xfId="0" applyFont="1" applyBorder="1" applyAlignment="1" applyProtection="1">
      <alignment horizontal="center" vertical="center" textRotation="90" wrapText="1"/>
    </xf>
    <xf numFmtId="0" fontId="8" fillId="0" borderId="7" xfId="0" applyFont="1" applyBorder="1" applyAlignment="1" applyProtection="1">
      <alignment horizontal="center" vertical="center" textRotation="90" wrapText="1"/>
    </xf>
    <xf numFmtId="0" fontId="2" fillId="41" borderId="1" xfId="0" applyFont="1" applyFill="1" applyBorder="1" applyAlignment="1" applyProtection="1">
      <alignment horizontal="center"/>
    </xf>
    <xf numFmtId="0" fontId="2" fillId="41" borderId="2" xfId="0" applyFont="1" applyFill="1" applyBorder="1" applyAlignment="1" applyProtection="1">
      <alignment horizontal="center"/>
    </xf>
    <xf numFmtId="0" fontId="2" fillId="41" borderId="3" xfId="0" applyFont="1" applyFill="1" applyBorder="1" applyAlignment="1" applyProtection="1">
      <alignment horizontal="center"/>
    </xf>
    <xf numFmtId="2" fontId="2" fillId="0" borderId="6" xfId="0" applyNumberFormat="1" applyFont="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0" xfId="0" applyFont="1" applyFill="1" applyBorder="1" applyAlignment="1" applyProtection="1">
      <alignment horizontal="center" vertical="center"/>
    </xf>
    <xf numFmtId="0" fontId="0" fillId="0" borderId="0" xfId="0" applyFont="1" applyBorder="1" applyAlignment="1" applyProtection="1">
      <alignment horizontal="center" vertical="center"/>
    </xf>
    <xf numFmtId="0" fontId="28" fillId="0" borderId="0" xfId="0" applyFont="1" applyAlignment="1" applyProtection="1">
      <alignment wrapText="1"/>
    </xf>
    <xf numFmtId="0" fontId="0" fillId="0" borderId="0" xfId="0" applyAlignment="1" applyProtection="1">
      <alignment wrapText="1"/>
    </xf>
    <xf numFmtId="0" fontId="0" fillId="0" borderId="1" xfId="0" applyBorder="1" applyAlignment="1" applyProtection="1">
      <alignment wrapText="1"/>
    </xf>
    <xf numFmtId="0" fontId="0" fillId="0" borderId="2" xfId="0" applyBorder="1" applyAlignment="1" applyProtection="1">
      <alignment wrapText="1"/>
    </xf>
    <xf numFmtId="0" fontId="0" fillId="0" borderId="3" xfId="0" applyBorder="1" applyAlignment="1" applyProtection="1">
      <alignment wrapText="1"/>
    </xf>
    <xf numFmtId="169" fontId="39" fillId="0" borderId="8" xfId="0" applyNumberFormat="1" applyFont="1" applyFill="1" applyBorder="1" applyAlignment="1" applyProtection="1">
      <alignment horizontal="right" vertical="center"/>
    </xf>
    <xf numFmtId="0" fontId="0" fillId="0" borderId="17" xfId="0" applyBorder="1" applyAlignment="1" applyProtection="1">
      <alignment horizontal="right" vertical="center"/>
    </xf>
    <xf numFmtId="169" fontId="39" fillId="0" borderId="9" xfId="0" applyNumberFormat="1" applyFont="1" applyFill="1" applyBorder="1" applyAlignment="1" applyProtection="1">
      <alignment horizontal="right" vertical="center"/>
    </xf>
    <xf numFmtId="0" fontId="0" fillId="0" borderId="18" xfId="0" applyBorder="1" applyAlignment="1" applyProtection="1">
      <alignment horizontal="right" vertical="center"/>
    </xf>
  </cellXfs>
  <cellStyles count="48">
    <cellStyle name="20 % - Akzent1 2" xfId="20"/>
    <cellStyle name="20 % - Akzent2 2" xfId="24"/>
    <cellStyle name="20 % - Akzent3 2" xfId="28"/>
    <cellStyle name="20 % - Akzent4 2" xfId="32"/>
    <cellStyle name="20 % - Akzent5 2" xfId="36"/>
    <cellStyle name="20 % - Akzent6 2" xfId="40"/>
    <cellStyle name="40 % - Akzent1 2" xfId="21"/>
    <cellStyle name="40 % - Akzent2 2" xfId="25"/>
    <cellStyle name="40 % - Akzent3 2" xfId="29"/>
    <cellStyle name="40 % - Akzent4 2" xfId="33"/>
    <cellStyle name="40 % - Akzent5 2" xfId="37"/>
    <cellStyle name="40 % - Akzent6 2" xfId="41"/>
    <cellStyle name="60 % - Akzent1 2" xfId="22"/>
    <cellStyle name="60 % - Akzent2 2" xfId="26"/>
    <cellStyle name="60 % - Akzent3 2" xfId="30"/>
    <cellStyle name="60 % - Akzent4 2" xfId="34"/>
    <cellStyle name="60 % - Akzent5 2" xfId="38"/>
    <cellStyle name="60 % - Akzent6 2" xfId="42"/>
    <cellStyle name="Akzent1 2" xfId="19"/>
    <cellStyle name="Akzent2 2" xfId="23"/>
    <cellStyle name="Akzent3 2" xfId="27"/>
    <cellStyle name="Akzent4 2" xfId="31"/>
    <cellStyle name="Akzent5 2" xfId="35"/>
    <cellStyle name="Akzent6 2" xfId="39"/>
    <cellStyle name="Ausgabe 2" xfId="11"/>
    <cellStyle name="Berechnung 2" xfId="12"/>
    <cellStyle name="Eingabe 2" xfId="10"/>
    <cellStyle name="Ergebnis 2" xfId="18"/>
    <cellStyle name="Erklärender Text 2" xfId="17"/>
    <cellStyle name="Gut 2" xfId="7"/>
    <cellStyle name="Link" xfId="44" builtinId="8"/>
    <cellStyle name="Neutral 2" xfId="9"/>
    <cellStyle name="Notiz 2" xfId="16"/>
    <cellStyle name="Prozent" xfId="43" builtinId="5"/>
    <cellStyle name="Schlecht 2" xfId="8"/>
    <cellStyle name="Standard" xfId="0" builtinId="0"/>
    <cellStyle name="Standard 2" xfId="2"/>
    <cellStyle name="Standard 3 2 2" xfId="47"/>
    <cellStyle name="Standard_ANH9_2" xfId="45"/>
    <cellStyle name="Standard_ANH9_2 2 2" xfId="46"/>
    <cellStyle name="Überschrift" xfId="1" builtinId="15" customBuiltin="1"/>
    <cellStyle name="Überschrift 1 2" xfId="3"/>
    <cellStyle name="Überschrift 2 2" xfId="4"/>
    <cellStyle name="Überschrift 3 2" xfId="5"/>
    <cellStyle name="Überschrift 4 2" xfId="6"/>
    <cellStyle name="Verknüpfte Zelle 2" xfId="13"/>
    <cellStyle name="Warnender Text 2" xfId="15"/>
    <cellStyle name="Zelle überprüfen 2"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Gebührenverlauf</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spPr>
            <a:ln w="19050" cap="rnd">
              <a:solidFill>
                <a:schemeClr val="accent1"/>
              </a:solidFill>
              <a:round/>
            </a:ln>
            <a:effectLst/>
          </c:spPr>
          <c:marker>
            <c:symbol val="none"/>
          </c:marker>
          <c:xVal>
            <c:numRef>
              <c:f>kalkulierteBK!$A$12:$A$61</c:f>
              <c:numCache>
                <c:formatCode>General</c:formatCode>
                <c:ptCount val="5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pt idx="41">
                  <c:v>2062</c:v>
                </c:pt>
                <c:pt idx="42">
                  <c:v>2063</c:v>
                </c:pt>
                <c:pt idx="43">
                  <c:v>2064</c:v>
                </c:pt>
                <c:pt idx="44">
                  <c:v>2065</c:v>
                </c:pt>
                <c:pt idx="45">
                  <c:v>2066</c:v>
                </c:pt>
                <c:pt idx="46">
                  <c:v>2067</c:v>
                </c:pt>
                <c:pt idx="47">
                  <c:v>2068</c:v>
                </c:pt>
                <c:pt idx="48">
                  <c:v>2069</c:v>
                </c:pt>
                <c:pt idx="49">
                  <c:v>2070</c:v>
                </c:pt>
              </c:numCache>
            </c:numRef>
          </c:xVal>
          <c:yVal>
            <c:numRef>
              <c:f>kalkulierteBK!$F$12:$F$61</c:f>
              <c:numCache>
                <c:formatCode>"Fr."\ 0.00</c:formatCode>
                <c:ptCount val="50"/>
                <c:pt idx="0">
                  <c:v>3.028727776611897</c:v>
                </c:pt>
                <c:pt idx="1">
                  <c:v>3.028727776611897</c:v>
                </c:pt>
                <c:pt idx="2">
                  <c:v>3.028727776611897</c:v>
                </c:pt>
                <c:pt idx="3">
                  <c:v>3.028727776611897</c:v>
                </c:pt>
                <c:pt idx="4">
                  <c:v>3.028727776611897</c:v>
                </c:pt>
                <c:pt idx="5">
                  <c:v>3.2627999858642829</c:v>
                </c:pt>
                <c:pt idx="6">
                  <c:v>3.2627999858642829</c:v>
                </c:pt>
                <c:pt idx="7">
                  <c:v>3.2627999858642829</c:v>
                </c:pt>
                <c:pt idx="8">
                  <c:v>3.2627999858642829</c:v>
                </c:pt>
                <c:pt idx="9">
                  <c:v>3.2627999858642829</c:v>
                </c:pt>
                <c:pt idx="10">
                  <c:v>3.5149622326457544</c:v>
                </c:pt>
                <c:pt idx="11">
                  <c:v>3.5149622326457544</c:v>
                </c:pt>
                <c:pt idx="12">
                  <c:v>3.5149622326457544</c:v>
                </c:pt>
                <c:pt idx="13">
                  <c:v>3.5149622326457544</c:v>
                </c:pt>
                <c:pt idx="14">
                  <c:v>3.5149622326457544</c:v>
                </c:pt>
                <c:pt idx="15">
                  <c:v>3.7866125874869776</c:v>
                </c:pt>
                <c:pt idx="16">
                  <c:v>3.7866125874869776</c:v>
                </c:pt>
                <c:pt idx="17">
                  <c:v>3.7866125874869776</c:v>
                </c:pt>
                <c:pt idx="18">
                  <c:v>3.7866125874869776</c:v>
                </c:pt>
                <c:pt idx="19">
                  <c:v>3.7866125874869776</c:v>
                </c:pt>
                <c:pt idx="20">
                  <c:v>4.0792571694069419</c:v>
                </c:pt>
                <c:pt idx="21">
                  <c:v>4.0792571694069419</c:v>
                </c:pt>
                <c:pt idx="22">
                  <c:v>4.0792571694069419</c:v>
                </c:pt>
                <c:pt idx="23">
                  <c:v>4.0792571694069419</c:v>
                </c:pt>
                <c:pt idx="24">
                  <c:v>4.0792571694069419</c:v>
                </c:pt>
                <c:pt idx="25">
                  <c:v>4.3945184963327497</c:v>
                </c:pt>
                <c:pt idx="26">
                  <c:v>4.3945184963327497</c:v>
                </c:pt>
                <c:pt idx="27">
                  <c:v>4.3945184963327497</c:v>
                </c:pt>
                <c:pt idx="28">
                  <c:v>4.3945184963327497</c:v>
                </c:pt>
                <c:pt idx="29">
                  <c:v>4.3945184963327497</c:v>
                </c:pt>
                <c:pt idx="30">
                  <c:v>4.7341444808732849</c:v>
                </c:pt>
                <c:pt idx="31">
                  <c:v>4.7341444808732849</c:v>
                </c:pt>
                <c:pt idx="32">
                  <c:v>4.7341444808732849</c:v>
                </c:pt>
                <c:pt idx="33">
                  <c:v>4.7341444808732849</c:v>
                </c:pt>
                <c:pt idx="34">
                  <c:v>4.7341444808732849</c:v>
                </c:pt>
                <c:pt idx="35">
                  <c:v>5.100018121322285</c:v>
                </c:pt>
                <c:pt idx="36">
                  <c:v>5.100018121322285</c:v>
                </c:pt>
                <c:pt idx="37">
                  <c:v>5.100018121322285</c:v>
                </c:pt>
                <c:pt idx="38">
                  <c:v>5.100018121322285</c:v>
                </c:pt>
                <c:pt idx="39">
                  <c:v>5.100018121322285</c:v>
                </c:pt>
                <c:pt idx="40">
                  <c:v>5.4941679416209359</c:v>
                </c:pt>
                <c:pt idx="41">
                  <c:v>5.4941679416209359</c:v>
                </c:pt>
                <c:pt idx="42">
                  <c:v>5.4941679416209359</c:v>
                </c:pt>
                <c:pt idx="43">
                  <c:v>5.4941679416209359</c:v>
                </c:pt>
                <c:pt idx="44">
                  <c:v>5.4941679416209359</c:v>
                </c:pt>
                <c:pt idx="45">
                  <c:v>5.918779238162573</c:v>
                </c:pt>
                <c:pt idx="46">
                  <c:v>5.918779238162573</c:v>
                </c:pt>
                <c:pt idx="47">
                  <c:v>5.918779238162573</c:v>
                </c:pt>
                <c:pt idx="48">
                  <c:v>5.918779238162573</c:v>
                </c:pt>
                <c:pt idx="49">
                  <c:v>5.918779238162573</c:v>
                </c:pt>
              </c:numCache>
            </c:numRef>
          </c:yVal>
          <c:smooth val="0"/>
          <c:extLst>
            <c:ext xmlns:c16="http://schemas.microsoft.com/office/drawing/2014/chart" uri="{C3380CC4-5D6E-409C-BE32-E72D297353CC}">
              <c16:uniqueId val="{00000000-1E19-4904-BF0F-11A9A1DD5257}"/>
            </c:ext>
          </c:extLst>
        </c:ser>
        <c:dLbls>
          <c:showLegendKey val="0"/>
          <c:showVal val="0"/>
          <c:showCatName val="0"/>
          <c:showSerName val="0"/>
          <c:showPercent val="0"/>
          <c:showBubbleSize val="0"/>
        </c:dLbls>
        <c:axId val="406656400"/>
        <c:axId val="406657384"/>
      </c:scatterChart>
      <c:valAx>
        <c:axId val="406656400"/>
        <c:scaling>
          <c:orientation val="minMax"/>
          <c:max val="2070"/>
          <c:min val="20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out"/>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06657384"/>
        <c:crosses val="autoZero"/>
        <c:crossBetween val="midCat"/>
        <c:majorUnit val="5"/>
        <c:minorUnit val="1"/>
      </c:valAx>
      <c:valAx>
        <c:axId val="406657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Fr.</a:t>
                </a:r>
                <a:r>
                  <a:rPr lang="de-CH" baseline="0"/>
                  <a:t> pro Kubikmeter Trinkwasser</a:t>
                </a:r>
                <a:endParaRPr lang="de-CH"/>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quot;Fr.&quot;\ 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06656400"/>
        <c:crossesAt val="2010"/>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7</xdr:col>
      <xdr:colOff>95251</xdr:colOff>
      <xdr:row>24</xdr:row>
      <xdr:rowOff>57150</xdr:rowOff>
    </xdr:from>
    <xdr:to>
      <xdr:col>7</xdr:col>
      <xdr:colOff>590551</xdr:colOff>
      <xdr:row>40</xdr:row>
      <xdr:rowOff>123825</xdr:rowOff>
    </xdr:to>
    <xdr:cxnSp macro="">
      <xdr:nvCxnSpPr>
        <xdr:cNvPr id="3" name="Verbinder: gewinkelt 2">
          <a:extLst>
            <a:ext uri="{FF2B5EF4-FFF2-40B4-BE49-F238E27FC236}">
              <a16:creationId xmlns:a16="http://schemas.microsoft.com/office/drawing/2014/main" id="{7590297A-8033-4856-B307-779C3655F053}"/>
            </a:ext>
          </a:extLst>
        </xdr:cNvPr>
        <xdr:cNvCxnSpPr/>
      </xdr:nvCxnSpPr>
      <xdr:spPr>
        <a:xfrm rot="5400000" flipH="1" flipV="1">
          <a:off x="3910013" y="5300663"/>
          <a:ext cx="3419475" cy="495300"/>
        </a:xfrm>
        <a:prstGeom prst="bentConnector3">
          <a:avLst>
            <a:gd name="adj1" fmla="val 418"/>
          </a:avLst>
        </a:prstGeom>
        <a:ln w="476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21</xdr:row>
      <xdr:rowOff>258536</xdr:rowOff>
    </xdr:from>
    <xdr:to>
      <xdr:col>1</xdr:col>
      <xdr:colOff>2228305</xdr:colOff>
      <xdr:row>22</xdr:row>
      <xdr:rowOff>68392</xdr:rowOff>
    </xdr:to>
    <xdr:sp macro="" textlink="">
      <xdr:nvSpPr>
        <xdr:cNvPr id="6" name="Legende: mit Linie mit Rahmen und Akzentuierungsbalken 5">
          <a:extLst>
            <a:ext uri="{FF2B5EF4-FFF2-40B4-BE49-F238E27FC236}">
              <a16:creationId xmlns:a16="http://schemas.microsoft.com/office/drawing/2014/main" id="{445042C5-953B-4CD8-A61B-41C32C867490}"/>
            </a:ext>
          </a:extLst>
        </xdr:cNvPr>
        <xdr:cNvSpPr/>
      </xdr:nvSpPr>
      <xdr:spPr>
        <a:xfrm>
          <a:off x="0" y="4204607"/>
          <a:ext cx="2690948" cy="612678"/>
        </a:xfrm>
        <a:prstGeom prst="accentBorderCallout1">
          <a:avLst>
            <a:gd name="adj1" fmla="val 46117"/>
            <a:gd name="adj2" fmla="val 102735"/>
            <a:gd name="adj3" fmla="val 45714"/>
            <a:gd name="adj4" fmla="val 110292"/>
          </a:avLst>
        </a:prstGeom>
        <a:solidFill>
          <a:schemeClr val="bg1"/>
        </a:solidFill>
        <a:ln w="6350">
          <a:solidFill>
            <a:schemeClr val="tx1"/>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x-non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de-CH" sz="1600">
              <a:solidFill>
                <a:schemeClr val="tx1"/>
              </a:solidFill>
            </a:rPr>
            <a:t>Sparrate der Anlagen</a:t>
          </a:r>
        </a:p>
        <a:p>
          <a:endParaRPr lang="de-CH"/>
        </a:p>
      </xdr:txBody>
    </xdr:sp>
    <xdr:clientData/>
  </xdr:twoCellAnchor>
  <xdr:twoCellAnchor editAs="oneCell">
    <xdr:from>
      <xdr:col>0</xdr:col>
      <xdr:colOff>60128</xdr:colOff>
      <xdr:row>21</xdr:row>
      <xdr:rowOff>528993</xdr:rowOff>
    </xdr:from>
    <xdr:to>
      <xdr:col>1</xdr:col>
      <xdr:colOff>1809162</xdr:colOff>
      <xdr:row>22</xdr:row>
      <xdr:rowOff>44719</xdr:rowOff>
    </xdr:to>
    <xdr:pic>
      <xdr:nvPicPr>
        <xdr:cNvPr id="7" name="Grafik 6">
          <a:extLst>
            <a:ext uri="{FF2B5EF4-FFF2-40B4-BE49-F238E27FC236}">
              <a16:creationId xmlns:a16="http://schemas.microsoft.com/office/drawing/2014/main" id="{77120259-45B7-45B8-94C8-655C1A047FA7}"/>
            </a:ext>
          </a:extLst>
        </xdr:cNvPr>
        <xdr:cNvPicPr>
          <a:picLocks noChangeAspect="1"/>
        </xdr:cNvPicPr>
      </xdr:nvPicPr>
      <xdr:blipFill rotWithShape="1">
        <a:blip xmlns:r="http://schemas.openxmlformats.org/officeDocument/2006/relationships" r:embed="rId1"/>
        <a:srcRect t="28482" b="12653"/>
        <a:stretch/>
      </xdr:blipFill>
      <xdr:spPr>
        <a:xfrm>
          <a:off x="60128" y="4475064"/>
          <a:ext cx="2211677" cy="318548"/>
        </a:xfrm>
        <a:prstGeom prst="rect">
          <a:avLst/>
        </a:prstGeom>
      </xdr:spPr>
    </xdr:pic>
    <xdr:clientData/>
  </xdr:twoCellAnchor>
  <xdr:twoCellAnchor>
    <xdr:from>
      <xdr:col>0</xdr:col>
      <xdr:colOff>0</xdr:colOff>
      <xdr:row>27</xdr:row>
      <xdr:rowOff>40821</xdr:rowOff>
    </xdr:from>
    <xdr:to>
      <xdr:col>1</xdr:col>
      <xdr:colOff>2228305</xdr:colOff>
      <xdr:row>29</xdr:row>
      <xdr:rowOff>163642</xdr:rowOff>
    </xdr:to>
    <xdr:sp macro="" textlink="">
      <xdr:nvSpPr>
        <xdr:cNvPr id="8" name="Legende: mit Linie mit Rahmen und Akzentuierungsbalken 7">
          <a:extLst>
            <a:ext uri="{FF2B5EF4-FFF2-40B4-BE49-F238E27FC236}">
              <a16:creationId xmlns:a16="http://schemas.microsoft.com/office/drawing/2014/main" id="{B662B9A9-AEB2-45E9-97BC-3DDC5A07C8AA}"/>
            </a:ext>
          </a:extLst>
        </xdr:cNvPr>
        <xdr:cNvSpPr/>
      </xdr:nvSpPr>
      <xdr:spPr>
        <a:xfrm>
          <a:off x="0" y="6014357"/>
          <a:ext cx="2690948" cy="612678"/>
        </a:xfrm>
        <a:prstGeom prst="accentBorderCallout1">
          <a:avLst>
            <a:gd name="adj1" fmla="val 50842"/>
            <a:gd name="adj2" fmla="val 102408"/>
            <a:gd name="adj3" fmla="val 50516"/>
            <a:gd name="adj4" fmla="val 109695"/>
          </a:avLst>
        </a:prstGeom>
        <a:solidFill>
          <a:schemeClr val="bg1"/>
        </a:solidFill>
        <a:ln w="6350">
          <a:solidFill>
            <a:schemeClr val="tx1"/>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x-non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de-CH" sz="1600">
              <a:solidFill>
                <a:schemeClr val="tx1"/>
              </a:solidFill>
            </a:rPr>
            <a:t>Aufgelaufene Sparrate</a:t>
          </a:r>
        </a:p>
        <a:p>
          <a:endParaRPr lang="de-CH"/>
        </a:p>
      </xdr:txBody>
    </xdr:sp>
    <xdr:clientData/>
  </xdr:twoCellAnchor>
  <xdr:twoCellAnchor editAs="oneCell">
    <xdr:from>
      <xdr:col>0</xdr:col>
      <xdr:colOff>60128</xdr:colOff>
      <xdr:row>28</xdr:row>
      <xdr:rowOff>93898</xdr:rowOff>
    </xdr:from>
    <xdr:to>
      <xdr:col>1</xdr:col>
      <xdr:colOff>1751464</xdr:colOff>
      <xdr:row>29</xdr:row>
      <xdr:rowOff>128056</xdr:rowOff>
    </xdr:to>
    <xdr:pic>
      <xdr:nvPicPr>
        <xdr:cNvPr id="9" name="Grafik 8">
          <a:extLst>
            <a:ext uri="{FF2B5EF4-FFF2-40B4-BE49-F238E27FC236}">
              <a16:creationId xmlns:a16="http://schemas.microsoft.com/office/drawing/2014/main" id="{FB37B201-9B66-457A-91DE-A6AF37D65389}"/>
            </a:ext>
          </a:extLst>
        </xdr:cNvPr>
        <xdr:cNvPicPr>
          <a:picLocks noChangeAspect="1"/>
        </xdr:cNvPicPr>
      </xdr:nvPicPr>
      <xdr:blipFill rotWithShape="1">
        <a:blip xmlns:r="http://schemas.openxmlformats.org/officeDocument/2006/relationships" r:embed="rId2"/>
        <a:srcRect t="36496" b="14957"/>
        <a:stretch/>
      </xdr:blipFill>
      <xdr:spPr>
        <a:xfrm>
          <a:off x="60128" y="6312362"/>
          <a:ext cx="2153979" cy="279088"/>
        </a:xfrm>
        <a:prstGeom prst="rect">
          <a:avLst/>
        </a:prstGeom>
      </xdr:spPr>
    </xdr:pic>
    <xdr:clientData/>
  </xdr:twoCellAnchor>
  <xdr:twoCellAnchor>
    <xdr:from>
      <xdr:col>0</xdr:col>
      <xdr:colOff>0</xdr:colOff>
      <xdr:row>32</xdr:row>
      <xdr:rowOff>122464</xdr:rowOff>
    </xdr:from>
    <xdr:to>
      <xdr:col>1</xdr:col>
      <xdr:colOff>2228305</xdr:colOff>
      <xdr:row>34</xdr:row>
      <xdr:rowOff>98945</xdr:rowOff>
    </xdr:to>
    <xdr:sp macro="" textlink="">
      <xdr:nvSpPr>
        <xdr:cNvPr id="10" name="Legende: mit Linie mit Rahmen und Akzentuierungsbalken 9">
          <a:extLst>
            <a:ext uri="{FF2B5EF4-FFF2-40B4-BE49-F238E27FC236}">
              <a16:creationId xmlns:a16="http://schemas.microsoft.com/office/drawing/2014/main" id="{119E3251-546B-46B8-9069-0350EC94293B}"/>
            </a:ext>
          </a:extLst>
        </xdr:cNvPr>
        <xdr:cNvSpPr/>
      </xdr:nvSpPr>
      <xdr:spPr>
        <a:xfrm>
          <a:off x="0" y="7320643"/>
          <a:ext cx="2690948" cy="466338"/>
        </a:xfrm>
        <a:prstGeom prst="accentBorderCallout1">
          <a:avLst>
            <a:gd name="adj1" fmla="val 50842"/>
            <a:gd name="adj2" fmla="val 102408"/>
            <a:gd name="adj3" fmla="val 50516"/>
            <a:gd name="adj4" fmla="val 109695"/>
          </a:avLst>
        </a:prstGeom>
        <a:solidFill>
          <a:schemeClr val="bg1"/>
        </a:solidFill>
        <a:ln w="6350">
          <a:solidFill>
            <a:schemeClr val="tx1"/>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x-non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de-CH" sz="1600">
              <a:solidFill>
                <a:schemeClr val="tx1"/>
              </a:solidFill>
            </a:rPr>
            <a:t>Bilanz</a:t>
          </a:r>
        </a:p>
        <a:p>
          <a:r>
            <a:rPr lang="de-CH" sz="1200">
              <a:solidFill>
                <a:schemeClr val="tx1"/>
              </a:solidFill>
            </a:rPr>
            <a:t>Saldo Spezialfinanzierung</a:t>
          </a:r>
        </a:p>
      </xdr:txBody>
    </xdr:sp>
    <xdr:clientData/>
  </xdr:twoCellAnchor>
  <xdr:twoCellAnchor>
    <xdr:from>
      <xdr:col>0</xdr:col>
      <xdr:colOff>0</xdr:colOff>
      <xdr:row>36</xdr:row>
      <xdr:rowOff>40821</xdr:rowOff>
    </xdr:from>
    <xdr:to>
      <xdr:col>1</xdr:col>
      <xdr:colOff>2228305</xdr:colOff>
      <xdr:row>38</xdr:row>
      <xdr:rowOff>17302</xdr:rowOff>
    </xdr:to>
    <xdr:sp macro="" textlink="">
      <xdr:nvSpPr>
        <xdr:cNvPr id="11" name="Legende: mit Linie mit Rahmen und Akzentuierungsbalken 10">
          <a:extLst>
            <a:ext uri="{FF2B5EF4-FFF2-40B4-BE49-F238E27FC236}">
              <a16:creationId xmlns:a16="http://schemas.microsoft.com/office/drawing/2014/main" id="{91AD1332-60B8-43EA-8B6D-730180FDC6C2}"/>
            </a:ext>
          </a:extLst>
        </xdr:cNvPr>
        <xdr:cNvSpPr/>
      </xdr:nvSpPr>
      <xdr:spPr>
        <a:xfrm>
          <a:off x="0" y="8218714"/>
          <a:ext cx="2690948" cy="466338"/>
        </a:xfrm>
        <a:prstGeom prst="accentBorderCallout1">
          <a:avLst>
            <a:gd name="adj1" fmla="val 40068"/>
            <a:gd name="adj2" fmla="val 102408"/>
            <a:gd name="adj3" fmla="val 40820"/>
            <a:gd name="adj4" fmla="val 109322"/>
          </a:avLst>
        </a:prstGeom>
        <a:solidFill>
          <a:schemeClr val="bg1"/>
        </a:solidFill>
        <a:ln w="6350">
          <a:solidFill>
            <a:schemeClr val="tx1"/>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x-non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de-CH" sz="1600">
              <a:solidFill>
                <a:schemeClr val="tx1"/>
              </a:solidFill>
            </a:rPr>
            <a:t>Ausblick</a:t>
          </a:r>
        </a:p>
        <a:p>
          <a:r>
            <a:rPr lang="de-CH" sz="1200">
              <a:solidFill>
                <a:schemeClr val="tx1"/>
              </a:solidFill>
            </a:rPr>
            <a:t>Ertragsüberschüsse Anschlussgebühren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200025</xdr:colOff>
      <xdr:row>1</xdr:row>
      <xdr:rowOff>276224</xdr:rowOff>
    </xdr:from>
    <xdr:to>
      <xdr:col>12</xdr:col>
      <xdr:colOff>352424</xdr:colOff>
      <xdr:row>17</xdr:row>
      <xdr:rowOff>104775</xdr:rowOff>
    </xdr:to>
    <xdr:graphicFrame macro="">
      <xdr:nvGraphicFramePr>
        <xdr:cNvPr id="3" name="Diagramm 2">
          <a:extLst>
            <a:ext uri="{FF2B5EF4-FFF2-40B4-BE49-F238E27FC236}">
              <a16:creationId xmlns:a16="http://schemas.microsoft.com/office/drawing/2014/main" id="{3D292D5F-B45D-4C2B-ABE9-E33B86CC84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ernd%20Kobler/AppData/Local/Temp/Temp1_211213_Pr&#252;funterlagen%20Risch_Abwasser%20.zip/211213_KA-SE-RischZG-Inkl_pr&#252;w-Check_Re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ü_2021-HHT"/>
      <sheetName val="prü_2021"/>
      <sheetName val="1"/>
      <sheetName val="LtgKo"/>
      <sheetName val="1.1"/>
      <sheetName val="öffLTG - SchmutzW"/>
      <sheetName val="1.2"/>
      <sheetName val="öffLTG - MetW"/>
      <sheetName val="1.3-pA"/>
      <sheetName val="1.4-pS"/>
      <sheetName val="1.5bS"/>
      <sheetName val="2-ARA"/>
      <sheetName val="3-SB"/>
      <sheetName val="4"/>
      <sheetName val="5-WBZW"/>
      <sheetName val="6-Wvz"/>
      <sheetName val="7-AG"/>
      <sheetName val="8-lfdko"/>
      <sheetName val="9-Was"/>
      <sheetName val="10-Ko"/>
      <sheetName val="10-Ko (2)"/>
      <sheetName val="11"/>
      <sheetName val="12-Verl"/>
      <sheetName val="12-Verl (2)"/>
      <sheetName val="RE"/>
      <sheetName val="IDX"/>
    </sheetNames>
    <sheetDataSet>
      <sheetData sheetId="0"/>
      <sheetData sheetId="1"/>
      <sheetData sheetId="2"/>
      <sheetData sheetId="3"/>
      <sheetData sheetId="4">
        <row r="4">
          <cell r="L4">
            <v>0.04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tabSelected="1" view="pageLayout" zoomScaleNormal="170" workbookViewId="0">
      <selection activeCell="A3" sqref="A3"/>
    </sheetView>
  </sheetViews>
  <sheetFormatPr baseColWidth="10" defaultColWidth="11.453125" defaultRowHeight="14.5" x14ac:dyDescent="0.35"/>
  <cols>
    <col min="1" max="1" width="68.81640625" style="296" customWidth="1"/>
    <col min="2" max="2" width="17.54296875" style="294" customWidth="1"/>
    <col min="3" max="16384" width="11.453125" style="137"/>
  </cols>
  <sheetData>
    <row r="1" spans="1:3" ht="56.25" customHeight="1" thickBot="1" x14ac:dyDescent="0.4">
      <c r="A1" s="291" t="s">
        <v>159</v>
      </c>
      <c r="B1" s="320" t="s">
        <v>206</v>
      </c>
    </row>
    <row r="2" spans="1:3" ht="31.5" customHeight="1" thickBot="1" x14ac:dyDescent="0.4">
      <c r="A2" s="292" t="s">
        <v>158</v>
      </c>
      <c r="B2" s="297" t="s">
        <v>160</v>
      </c>
    </row>
    <row r="3" spans="1:3" ht="91.5" x14ac:dyDescent="0.35">
      <c r="A3" s="298" t="s">
        <v>192</v>
      </c>
      <c r="B3" s="299" t="s">
        <v>193</v>
      </c>
      <c r="C3" s="293"/>
    </row>
    <row r="4" spans="1:3" ht="3" customHeight="1" x14ac:dyDescent="0.35">
      <c r="A4" s="300"/>
      <c r="B4" s="301"/>
      <c r="C4" s="293"/>
    </row>
    <row r="5" spans="1:3" ht="130" x14ac:dyDescent="0.35">
      <c r="A5" s="302" t="s">
        <v>202</v>
      </c>
      <c r="B5" s="301" t="s">
        <v>188</v>
      </c>
    </row>
    <row r="6" spans="1:3" ht="3" customHeight="1" x14ac:dyDescent="0.35">
      <c r="A6" s="302"/>
      <c r="B6" s="301"/>
    </row>
    <row r="7" spans="1:3" ht="78" x14ac:dyDescent="0.35">
      <c r="A7" s="302" t="s">
        <v>203</v>
      </c>
      <c r="B7" s="301" t="s">
        <v>189</v>
      </c>
    </row>
    <row r="8" spans="1:3" ht="3" customHeight="1" x14ac:dyDescent="0.35">
      <c r="A8" s="302"/>
      <c r="B8" s="301"/>
    </row>
    <row r="9" spans="1:3" ht="41.25" customHeight="1" x14ac:dyDescent="0.35">
      <c r="A9" s="300" t="s">
        <v>183</v>
      </c>
      <c r="B9" s="301" t="s">
        <v>190</v>
      </c>
    </row>
    <row r="10" spans="1:3" ht="3" customHeight="1" x14ac:dyDescent="0.35">
      <c r="A10" s="300"/>
      <c r="B10" s="301"/>
    </row>
    <row r="11" spans="1:3" ht="26.5" x14ac:dyDescent="0.35">
      <c r="A11" s="300" t="s">
        <v>199</v>
      </c>
      <c r="B11" s="301" t="s">
        <v>191</v>
      </c>
    </row>
    <row r="12" spans="1:3" ht="3" customHeight="1" x14ac:dyDescent="0.35">
      <c r="A12" s="300"/>
      <c r="B12" s="301"/>
    </row>
    <row r="13" spans="1:3" ht="39" x14ac:dyDescent="0.35">
      <c r="A13" s="302" t="s">
        <v>200</v>
      </c>
      <c r="B13" s="301" t="s">
        <v>194</v>
      </c>
    </row>
    <row r="14" spans="1:3" ht="3" customHeight="1" x14ac:dyDescent="0.35">
      <c r="A14" s="302"/>
      <c r="B14" s="301"/>
    </row>
    <row r="15" spans="1:3" ht="39" x14ac:dyDescent="0.35">
      <c r="A15" s="302" t="s">
        <v>204</v>
      </c>
      <c r="B15" s="301" t="s">
        <v>195</v>
      </c>
    </row>
    <row r="16" spans="1:3" ht="2.25" customHeight="1" x14ac:dyDescent="0.35">
      <c r="A16" s="302"/>
      <c r="B16" s="301"/>
    </row>
    <row r="17" spans="1:2" ht="52" x14ac:dyDescent="0.35">
      <c r="A17" s="303" t="s">
        <v>184</v>
      </c>
      <c r="B17" s="301" t="s">
        <v>196</v>
      </c>
    </row>
    <row r="18" spans="1:2" ht="3" customHeight="1" x14ac:dyDescent="0.35">
      <c r="A18" s="303"/>
      <c r="B18" s="301"/>
    </row>
    <row r="19" spans="1:2" ht="39" x14ac:dyDescent="0.35">
      <c r="A19" s="303" t="s">
        <v>182</v>
      </c>
      <c r="B19" s="301" t="s">
        <v>197</v>
      </c>
    </row>
    <row r="20" spans="1:2" ht="3" customHeight="1" x14ac:dyDescent="0.35">
      <c r="A20" s="303"/>
      <c r="B20" s="301"/>
    </row>
    <row r="21" spans="1:2" ht="39" x14ac:dyDescent="0.35">
      <c r="A21" s="303" t="s">
        <v>205</v>
      </c>
      <c r="B21" s="301" t="s">
        <v>198</v>
      </c>
    </row>
    <row r="22" spans="1:2" x14ac:dyDescent="0.35">
      <c r="A22" s="304"/>
      <c r="B22" s="305"/>
    </row>
    <row r="23" spans="1:2" x14ac:dyDescent="0.35">
      <c r="A23" s="306" t="s">
        <v>187</v>
      </c>
      <c r="B23" s="309"/>
    </row>
    <row r="24" spans="1:2" x14ac:dyDescent="0.35">
      <c r="A24" s="307" t="s">
        <v>185</v>
      </c>
      <c r="B24" s="309"/>
    </row>
    <row r="25" spans="1:2" ht="15" thickBot="1" x14ac:dyDescent="0.4">
      <c r="A25" s="308" t="s">
        <v>186</v>
      </c>
      <c r="B25" s="310"/>
    </row>
    <row r="26" spans="1:2" x14ac:dyDescent="0.35">
      <c r="A26" s="295"/>
    </row>
  </sheetData>
  <sheetProtection algorithmName="SHA-512" hashValue="cQrbtqja3KzdapDPNEgEDxZPWdBqZSqmEoHURMgj/nzwaVmjpO1Ea5LaVTr6j5WInUIQkjzve3d3I30hxqbeqA==" saltValue="krlXYPDEEwcFqi5boslodw==" spinCount="100000" sheet="1" objects="1" scenarios="1"/>
  <hyperlinks>
    <hyperlink ref="B3" location="KostenKalkulation!H12" display="KostenKalkulation!H12"/>
    <hyperlink ref="B5" location="laufendeBK!B6" display="laufendeBK!B6"/>
    <hyperlink ref="B7" location="AH1.1!B5" display="AH1.1!B5"/>
    <hyperlink ref="B9" location="AH1.2!B5" display="AH1.2!B5"/>
    <hyperlink ref="B11" location="AH1.3!A5" display="AH1.3!A5"/>
    <hyperlink ref="B13" location="AH1.4!A5" display="AH1.4!A5"/>
    <hyperlink ref="B15" location="AH2.0!D3" display="AH2.0!D3"/>
    <hyperlink ref="B17" location="AH3.0!A5" display="AH3.0!A5"/>
    <hyperlink ref="B19" location="AG!B6" display="AG!B6"/>
    <hyperlink ref="B21" location="Verbrauch!B4" display="Verbrauch!B4"/>
  </hyperlinks>
  <pageMargins left="0.7" right="0.7" top="0.78740157499999996" bottom="0.78740157499999996" header="0.3" footer="0.3"/>
  <pageSetup paperSize="9" orientation="portrait" r:id="rId1"/>
  <headerFooter>
    <oddHeader>&amp;R&amp;G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view="pageLayout" topLeftCell="D1" zoomScaleNormal="80" workbookViewId="0">
      <selection activeCell="E4" sqref="E4"/>
    </sheetView>
  </sheetViews>
  <sheetFormatPr baseColWidth="10" defaultRowHeight="14.5" x14ac:dyDescent="0.35"/>
  <cols>
    <col min="1" max="1" width="22.81640625" customWidth="1"/>
    <col min="2" max="2" width="22.81640625" style="1" customWidth="1"/>
    <col min="3" max="3" width="12.26953125" customWidth="1"/>
    <col min="4" max="4" width="13.54296875" customWidth="1"/>
    <col min="5" max="5" width="12.26953125" customWidth="1"/>
    <col min="6" max="6" width="14.26953125" customWidth="1"/>
    <col min="7" max="7" width="14.453125" customWidth="1"/>
    <col min="8" max="8" width="15.81640625" customWidth="1"/>
  </cols>
  <sheetData>
    <row r="1" spans="1:13" ht="21" x14ac:dyDescent="0.5">
      <c r="A1" s="64" t="s">
        <v>140</v>
      </c>
      <c r="B1" s="136"/>
      <c r="C1" s="137"/>
      <c r="D1" s="138"/>
      <c r="E1" s="137"/>
      <c r="F1" s="137"/>
      <c r="G1" s="137"/>
      <c r="H1" s="138"/>
      <c r="I1" s="137"/>
    </row>
    <row r="2" spans="1:13" ht="16" thickBot="1" x14ac:dyDescent="0.4">
      <c r="A2" s="139" t="s">
        <v>123</v>
      </c>
      <c r="B2" s="136"/>
      <c r="C2" s="137"/>
      <c r="D2" s="137"/>
      <c r="E2" s="140" t="s">
        <v>25</v>
      </c>
      <c r="F2" s="141">
        <f>Kostenkalkulation!E18</f>
        <v>0.03</v>
      </c>
      <c r="G2" s="142" t="s">
        <v>42</v>
      </c>
      <c r="H2" s="140">
        <f>Kostenkalkulation!E19</f>
        <v>2020</v>
      </c>
      <c r="I2" s="137"/>
    </row>
    <row r="3" spans="1:13" ht="15" thickBot="1" x14ac:dyDescent="0.4">
      <c r="A3" s="143" t="s">
        <v>12</v>
      </c>
      <c r="B3" s="144"/>
      <c r="C3" s="145"/>
      <c r="D3" s="146">
        <f>SUM(D5:D19)</f>
        <v>180000</v>
      </c>
      <c r="E3" s="145"/>
      <c r="F3" s="146">
        <f>SUM(F5:F19)</f>
        <v>1071.7791969397133</v>
      </c>
      <c r="G3" s="145"/>
      <c r="H3" s="147">
        <f>SUM(H5:H19)</f>
        <v>77976.250032250653</v>
      </c>
      <c r="I3" s="137"/>
    </row>
    <row r="4" spans="1:13" ht="15" thickBot="1" x14ac:dyDescent="0.4">
      <c r="A4" s="148" t="s">
        <v>13</v>
      </c>
      <c r="B4" s="149" t="s">
        <v>9</v>
      </c>
      <c r="C4" s="149" t="s">
        <v>0</v>
      </c>
      <c r="D4" s="149" t="s">
        <v>1</v>
      </c>
      <c r="E4" s="149" t="s">
        <v>7</v>
      </c>
      <c r="F4" s="149" t="s">
        <v>3</v>
      </c>
      <c r="G4" s="149" t="s">
        <v>4</v>
      </c>
      <c r="H4" s="150" t="s">
        <v>8</v>
      </c>
      <c r="I4" s="137"/>
    </row>
    <row r="5" spans="1:13" x14ac:dyDescent="0.35">
      <c r="A5" s="17" t="s">
        <v>31</v>
      </c>
      <c r="B5" s="18" t="s">
        <v>111</v>
      </c>
      <c r="C5" s="18">
        <v>1996</v>
      </c>
      <c r="D5" s="133">
        <v>12000</v>
      </c>
      <c r="E5" s="151">
        <v>60</v>
      </c>
      <c r="F5" s="152">
        <f>D5*$F$2/(($F$2+1)*(($F$2+1)^E5-1))</f>
        <v>71.451946462647541</v>
      </c>
      <c r="G5" s="153">
        <f>$H$2-C5</f>
        <v>24</v>
      </c>
      <c r="H5" s="154">
        <f>IF(G5&gt;E5,D5,F5*($F$2+1)*((($F$2+1)^(G5)-1))/$F$2)</f>
        <v>2533.6334559266311</v>
      </c>
      <c r="I5" s="137"/>
      <c r="M5" s="2"/>
    </row>
    <row r="6" spans="1:13" x14ac:dyDescent="0.35">
      <c r="A6" s="19" t="s">
        <v>31</v>
      </c>
      <c r="B6" s="16" t="s">
        <v>49</v>
      </c>
      <c r="C6" s="16">
        <v>1998</v>
      </c>
      <c r="D6" s="134">
        <v>12000</v>
      </c>
      <c r="E6" s="155">
        <v>60</v>
      </c>
      <c r="F6" s="156">
        <f t="shared" ref="F6:F9" si="0">D6*$F$2/(($F$2+1)*(($F$2+1)^E6-1))</f>
        <v>71.451946462647541</v>
      </c>
      <c r="G6" s="157">
        <f t="shared" ref="G6:G9" si="1">$H$2-C6</f>
        <v>22</v>
      </c>
      <c r="H6" s="158">
        <f t="shared" ref="H6:H19" si="2">IF(G6&gt;E6,D6,F6*($F$2+1)*((($F$2+1)^(G6)-1))/$F$2)</f>
        <v>2247.3697625298164</v>
      </c>
      <c r="I6" s="137"/>
      <c r="M6" s="2"/>
    </row>
    <row r="7" spans="1:13" x14ac:dyDescent="0.35">
      <c r="A7" s="19" t="s">
        <v>31</v>
      </c>
      <c r="B7" s="16" t="s">
        <v>50</v>
      </c>
      <c r="C7" s="16">
        <v>2000</v>
      </c>
      <c r="D7" s="134">
        <v>12000</v>
      </c>
      <c r="E7" s="155">
        <v>60</v>
      </c>
      <c r="F7" s="156">
        <f t="shared" si="0"/>
        <v>71.451946462647541</v>
      </c>
      <c r="G7" s="157">
        <f t="shared" si="1"/>
        <v>20</v>
      </c>
      <c r="H7" s="158">
        <f t="shared" si="2"/>
        <v>1977.5387762004586</v>
      </c>
      <c r="I7" s="137"/>
      <c r="M7" s="2"/>
    </row>
    <row r="8" spans="1:13" x14ac:dyDescent="0.35">
      <c r="A8" s="19" t="s">
        <v>31</v>
      </c>
      <c r="B8" s="16" t="s">
        <v>51</v>
      </c>
      <c r="C8" s="16">
        <v>1974</v>
      </c>
      <c r="D8" s="134">
        <v>12000</v>
      </c>
      <c r="E8" s="155">
        <v>60</v>
      </c>
      <c r="F8" s="156">
        <f t="shared" si="0"/>
        <v>71.451946462647541</v>
      </c>
      <c r="G8" s="157">
        <f t="shared" si="1"/>
        <v>46</v>
      </c>
      <c r="H8" s="158">
        <f t="shared" si="2"/>
        <v>7102.0734642345542</v>
      </c>
      <c r="I8" s="137"/>
      <c r="M8" s="2"/>
    </row>
    <row r="9" spans="1:13" x14ac:dyDescent="0.35">
      <c r="A9" s="19" t="s">
        <v>31</v>
      </c>
      <c r="B9" s="16" t="s">
        <v>52</v>
      </c>
      <c r="C9" s="16">
        <v>1988</v>
      </c>
      <c r="D9" s="134">
        <v>12000</v>
      </c>
      <c r="E9" s="155">
        <v>60</v>
      </c>
      <c r="F9" s="156">
        <f t="shared" si="0"/>
        <v>71.451946462647541</v>
      </c>
      <c r="G9" s="157">
        <f t="shared" si="1"/>
        <v>32</v>
      </c>
      <c r="H9" s="158">
        <f t="shared" si="2"/>
        <v>3863.9670198485119</v>
      </c>
      <c r="I9" s="137"/>
      <c r="M9" s="2"/>
    </row>
    <row r="10" spans="1:13" x14ac:dyDescent="0.35">
      <c r="A10" s="19" t="s">
        <v>31</v>
      </c>
      <c r="B10" s="16" t="s">
        <v>112</v>
      </c>
      <c r="C10" s="16">
        <v>1950</v>
      </c>
      <c r="D10" s="134">
        <v>12000</v>
      </c>
      <c r="E10" s="155">
        <v>60</v>
      </c>
      <c r="F10" s="156">
        <f t="shared" ref="F10:F19" si="3">D10*$F$2/(($F$2+1)*(($F$2+1)^E10-1))</f>
        <v>71.451946462647541</v>
      </c>
      <c r="G10" s="157">
        <f t="shared" ref="G10:G19" si="4">$H$2-C10</f>
        <v>70</v>
      </c>
      <c r="H10" s="158">
        <f t="shared" si="2"/>
        <v>12000</v>
      </c>
      <c r="I10" s="137"/>
      <c r="M10" s="2"/>
    </row>
    <row r="11" spans="1:13" x14ac:dyDescent="0.35">
      <c r="A11" s="19" t="s">
        <v>31</v>
      </c>
      <c r="B11" s="16" t="s">
        <v>113</v>
      </c>
      <c r="C11" s="16">
        <v>1988</v>
      </c>
      <c r="D11" s="134">
        <v>12000</v>
      </c>
      <c r="E11" s="155">
        <v>60</v>
      </c>
      <c r="F11" s="156">
        <f t="shared" si="3"/>
        <v>71.451946462647541</v>
      </c>
      <c r="G11" s="157">
        <f t="shared" si="4"/>
        <v>32</v>
      </c>
      <c r="H11" s="158">
        <f t="shared" si="2"/>
        <v>3863.9670198485119</v>
      </c>
      <c r="I11" s="137"/>
      <c r="M11" s="2"/>
    </row>
    <row r="12" spans="1:13" x14ac:dyDescent="0.35">
      <c r="A12" s="19" t="s">
        <v>114</v>
      </c>
      <c r="B12" s="16" t="s">
        <v>115</v>
      </c>
      <c r="C12" s="16">
        <v>2007</v>
      </c>
      <c r="D12" s="134">
        <v>12000</v>
      </c>
      <c r="E12" s="155">
        <v>60</v>
      </c>
      <c r="F12" s="156">
        <f t="shared" si="3"/>
        <v>71.451946462647541</v>
      </c>
      <c r="G12" s="157">
        <f t="shared" si="4"/>
        <v>13</v>
      </c>
      <c r="H12" s="158">
        <f t="shared" si="2"/>
        <v>1149.3991727923731</v>
      </c>
      <c r="I12" s="137"/>
      <c r="M12" s="2"/>
    </row>
    <row r="13" spans="1:13" x14ac:dyDescent="0.35">
      <c r="A13" s="19" t="s">
        <v>114</v>
      </c>
      <c r="B13" s="16" t="s">
        <v>116</v>
      </c>
      <c r="C13" s="16">
        <v>1988</v>
      </c>
      <c r="D13" s="134">
        <v>12000</v>
      </c>
      <c r="E13" s="155">
        <v>60</v>
      </c>
      <c r="F13" s="156">
        <f t="shared" si="3"/>
        <v>71.451946462647541</v>
      </c>
      <c r="G13" s="157">
        <f t="shared" si="4"/>
        <v>32</v>
      </c>
      <c r="H13" s="158">
        <f t="shared" si="2"/>
        <v>3863.9670198485119</v>
      </c>
      <c r="I13" s="137"/>
      <c r="M13" s="2"/>
    </row>
    <row r="14" spans="1:13" x14ac:dyDescent="0.35">
      <c r="A14" s="19" t="s">
        <v>114</v>
      </c>
      <c r="B14" s="16" t="s">
        <v>117</v>
      </c>
      <c r="C14" s="16">
        <v>1974</v>
      </c>
      <c r="D14" s="134">
        <v>12000</v>
      </c>
      <c r="E14" s="155">
        <v>60</v>
      </c>
      <c r="F14" s="156">
        <f t="shared" si="3"/>
        <v>71.451946462647541</v>
      </c>
      <c r="G14" s="157">
        <f t="shared" si="4"/>
        <v>46</v>
      </c>
      <c r="H14" s="158">
        <f t="shared" si="2"/>
        <v>7102.0734642345542</v>
      </c>
      <c r="I14" s="137"/>
      <c r="M14" s="2"/>
    </row>
    <row r="15" spans="1:13" x14ac:dyDescent="0.35">
      <c r="A15" s="19" t="s">
        <v>114</v>
      </c>
      <c r="B15" s="16" t="s">
        <v>118</v>
      </c>
      <c r="C15" s="16">
        <v>1974</v>
      </c>
      <c r="D15" s="134">
        <v>12000</v>
      </c>
      <c r="E15" s="155">
        <v>60</v>
      </c>
      <c r="F15" s="156">
        <f t="shared" si="3"/>
        <v>71.451946462647541</v>
      </c>
      <c r="G15" s="157">
        <f t="shared" si="4"/>
        <v>46</v>
      </c>
      <c r="H15" s="158">
        <f t="shared" si="2"/>
        <v>7102.0734642345542</v>
      </c>
      <c r="I15" s="137"/>
      <c r="M15" s="2"/>
    </row>
    <row r="16" spans="1:13" x14ac:dyDescent="0.35">
      <c r="A16" s="19" t="s">
        <v>114</v>
      </c>
      <c r="B16" s="16" t="s">
        <v>119</v>
      </c>
      <c r="C16" s="16">
        <v>1974</v>
      </c>
      <c r="D16" s="134">
        <v>12000</v>
      </c>
      <c r="E16" s="155">
        <v>60</v>
      </c>
      <c r="F16" s="156">
        <f t="shared" si="3"/>
        <v>71.451946462647541</v>
      </c>
      <c r="G16" s="157">
        <f t="shared" si="4"/>
        <v>46</v>
      </c>
      <c r="H16" s="158">
        <f t="shared" si="2"/>
        <v>7102.0734642345542</v>
      </c>
      <c r="I16" s="137"/>
      <c r="M16" s="2"/>
    </row>
    <row r="17" spans="1:13" x14ac:dyDescent="0.35">
      <c r="A17" s="19" t="s">
        <v>114</v>
      </c>
      <c r="B17" s="16" t="s">
        <v>120</v>
      </c>
      <c r="C17" s="16">
        <v>1974</v>
      </c>
      <c r="D17" s="134">
        <v>12000</v>
      </c>
      <c r="E17" s="155">
        <v>60</v>
      </c>
      <c r="F17" s="156">
        <f t="shared" si="3"/>
        <v>71.451946462647541</v>
      </c>
      <c r="G17" s="157">
        <f t="shared" si="4"/>
        <v>46</v>
      </c>
      <c r="H17" s="158">
        <f t="shared" si="2"/>
        <v>7102.0734642345542</v>
      </c>
      <c r="I17" s="137"/>
      <c r="M17" s="2"/>
    </row>
    <row r="18" spans="1:13" x14ac:dyDescent="0.35">
      <c r="A18" s="19" t="s">
        <v>114</v>
      </c>
      <c r="B18" s="16" t="s">
        <v>121</v>
      </c>
      <c r="C18" s="16">
        <v>1974</v>
      </c>
      <c r="D18" s="134">
        <v>12000</v>
      </c>
      <c r="E18" s="155">
        <v>60</v>
      </c>
      <c r="F18" s="156">
        <f t="shared" si="3"/>
        <v>71.451946462647541</v>
      </c>
      <c r="G18" s="157">
        <f t="shared" si="4"/>
        <v>46</v>
      </c>
      <c r="H18" s="158">
        <f t="shared" si="2"/>
        <v>7102.0734642345542</v>
      </c>
      <c r="I18" s="137"/>
      <c r="M18" s="2"/>
    </row>
    <row r="19" spans="1:13" ht="15" thickBot="1" x14ac:dyDescent="0.4">
      <c r="A19" s="20" t="s">
        <v>31</v>
      </c>
      <c r="B19" s="21" t="s">
        <v>122</v>
      </c>
      <c r="C19" s="21">
        <v>1988</v>
      </c>
      <c r="D19" s="135">
        <v>12000</v>
      </c>
      <c r="E19" s="159">
        <v>60</v>
      </c>
      <c r="F19" s="160">
        <f t="shared" si="3"/>
        <v>71.451946462647541</v>
      </c>
      <c r="G19" s="161">
        <f t="shared" si="4"/>
        <v>32</v>
      </c>
      <c r="H19" s="162">
        <f t="shared" si="2"/>
        <v>3863.9670198485119</v>
      </c>
      <c r="I19" s="137"/>
      <c r="M19" s="2"/>
    </row>
    <row r="20" spans="1:13" x14ac:dyDescent="0.35">
      <c r="A20" s="137"/>
      <c r="B20" s="136"/>
      <c r="C20" s="137"/>
      <c r="D20" s="137"/>
      <c r="E20" s="137"/>
      <c r="F20" s="137"/>
      <c r="G20" s="137"/>
      <c r="H20" s="137"/>
      <c r="I20" s="137"/>
    </row>
    <row r="21" spans="1:13" x14ac:dyDescent="0.35">
      <c r="A21" s="137"/>
      <c r="B21" s="136"/>
      <c r="C21" s="137"/>
      <c r="D21" s="137"/>
      <c r="E21" s="137"/>
      <c r="F21" s="163"/>
      <c r="G21" s="137"/>
      <c r="H21" s="137"/>
      <c r="I21" s="137"/>
    </row>
    <row r="22" spans="1:13" x14ac:dyDescent="0.35">
      <c r="A22" s="137"/>
      <c r="B22" s="136"/>
      <c r="C22" s="137"/>
      <c r="D22" s="137"/>
      <c r="E22" s="137"/>
      <c r="F22" s="137"/>
      <c r="G22" s="137"/>
      <c r="H22" s="137"/>
      <c r="I22" s="137"/>
    </row>
    <row r="23" spans="1:13" x14ac:dyDescent="0.35">
      <c r="A23" s="137"/>
      <c r="B23" s="136"/>
      <c r="C23" s="137"/>
      <c r="D23" s="137"/>
      <c r="E23" s="137"/>
      <c r="F23" s="137"/>
      <c r="G23" s="137"/>
      <c r="H23" s="137"/>
      <c r="I23" s="137"/>
    </row>
  </sheetData>
  <sheetProtection algorithmName="SHA-512" hashValue="jJVNbR6AIgRaUsDHepXz/mTbgF6ddqxNTWiOe6adqjD4cCgM9c87Hee9eTWIQp64AZvu2CAk5lzvyNNCyStBLg==" saltValue="H44zbDdoKC6ZYRjyvYr8TA==" spinCount="100000" sheet="1" objects="1" scenarios="1"/>
  <pageMargins left="0.7" right="0.7" top="0.78740157499999996" bottom="0.78740157499999996" header="0.3" footer="0.3"/>
  <pageSetup paperSize="9" orientation="portrait" verticalDpi="0" r:id="rId1"/>
  <headerFooter differentFirst="1">
    <oddHeader>&amp;R&amp;G</oddHeader>
    <firstHeader>&amp;R&amp;G</first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0"/>
  <sheetViews>
    <sheetView view="pageLayout" topLeftCell="A43" zoomScaleNormal="80" workbookViewId="0">
      <selection activeCell="E49" sqref="E49"/>
    </sheetView>
  </sheetViews>
  <sheetFormatPr baseColWidth="10" defaultColWidth="11.453125" defaultRowHeight="14.5" x14ac:dyDescent="0.35"/>
  <cols>
    <col min="1" max="1" width="9.26953125" style="136" customWidth="1"/>
    <col min="2" max="3" width="18" style="137" customWidth="1"/>
    <col min="4" max="4" width="6.81640625" style="137" customWidth="1"/>
    <col min="5" max="5" width="19" style="137" customWidth="1"/>
    <col min="6" max="16384" width="11.453125" style="137"/>
  </cols>
  <sheetData>
    <row r="1" spans="1:6" ht="21" x14ac:dyDescent="0.5">
      <c r="A1" s="164" t="s">
        <v>18</v>
      </c>
    </row>
    <row r="2" spans="1:6" ht="15.5" x14ac:dyDescent="0.35">
      <c r="A2" s="139" t="s">
        <v>129</v>
      </c>
      <c r="E2" s="140"/>
    </row>
    <row r="3" spans="1:6" ht="16" thickBot="1" x14ac:dyDescent="0.4">
      <c r="A3" s="139"/>
      <c r="B3" s="140" t="s">
        <v>25</v>
      </c>
      <c r="C3" s="141">
        <f>Kostenkalkulation!E18</f>
        <v>0.03</v>
      </c>
      <c r="D3" s="140" t="s">
        <v>14</v>
      </c>
      <c r="E3" s="140">
        <f>Kostenkalkulation!E19</f>
        <v>2020</v>
      </c>
    </row>
    <row r="4" spans="1:6" ht="15" thickBot="1" x14ac:dyDescent="0.4">
      <c r="A4" s="165" t="s">
        <v>5</v>
      </c>
      <c r="B4" s="166"/>
      <c r="C4" s="166"/>
      <c r="D4" s="167"/>
      <c r="E4" s="147">
        <f>SUM(E20:E70)</f>
        <v>7053252.6544519505</v>
      </c>
    </row>
    <row r="5" spans="1:6" ht="29.5" thickBot="1" x14ac:dyDescent="0.4">
      <c r="A5" s="168" t="s">
        <v>14</v>
      </c>
      <c r="B5" s="169" t="s">
        <v>19</v>
      </c>
      <c r="C5" s="169" t="s">
        <v>20</v>
      </c>
      <c r="D5" s="170"/>
      <c r="E5" s="171" t="s">
        <v>131</v>
      </c>
      <c r="F5" s="35"/>
    </row>
    <row r="6" spans="1:6" ht="15" customHeight="1" x14ac:dyDescent="0.35">
      <c r="A6" s="172">
        <f t="shared" ref="A6:A18" si="0">A7-1</f>
        <v>2006</v>
      </c>
      <c r="B6" s="24"/>
      <c r="C6" s="133">
        <v>378648</v>
      </c>
      <c r="D6" s="44"/>
      <c r="E6" s="173"/>
      <c r="F6" s="35"/>
    </row>
    <row r="7" spans="1:6" ht="15" customHeight="1" x14ac:dyDescent="0.35">
      <c r="A7" s="174">
        <f t="shared" si="0"/>
        <v>2007</v>
      </c>
      <c r="B7" s="22"/>
      <c r="C7" s="134">
        <v>447346</v>
      </c>
      <c r="D7" s="48"/>
      <c r="E7" s="175"/>
      <c r="F7" s="35"/>
    </row>
    <row r="8" spans="1:6" ht="15" customHeight="1" x14ac:dyDescent="0.35">
      <c r="A8" s="174">
        <f t="shared" si="0"/>
        <v>2008</v>
      </c>
      <c r="B8" s="22"/>
      <c r="C8" s="134">
        <v>1805462</v>
      </c>
      <c r="D8" s="48"/>
      <c r="E8" s="175"/>
      <c r="F8" s="35"/>
    </row>
    <row r="9" spans="1:6" ht="15" customHeight="1" x14ac:dyDescent="0.35">
      <c r="A9" s="174">
        <f t="shared" si="0"/>
        <v>2009</v>
      </c>
      <c r="B9" s="22"/>
      <c r="C9" s="134">
        <v>847040</v>
      </c>
      <c r="D9" s="48"/>
      <c r="E9" s="175"/>
      <c r="F9" s="35"/>
    </row>
    <row r="10" spans="1:6" ht="15" customHeight="1" x14ac:dyDescent="0.35">
      <c r="A10" s="174">
        <f t="shared" si="0"/>
        <v>2010</v>
      </c>
      <c r="B10" s="22"/>
      <c r="C10" s="134">
        <v>894892</v>
      </c>
      <c r="D10" s="48"/>
      <c r="E10" s="175"/>
      <c r="F10" s="35"/>
    </row>
    <row r="11" spans="1:6" ht="15" customHeight="1" x14ac:dyDescent="0.35">
      <c r="A11" s="174">
        <f t="shared" si="0"/>
        <v>2011</v>
      </c>
      <c r="B11" s="22"/>
      <c r="C11" s="134">
        <v>1437426</v>
      </c>
      <c r="D11" s="48"/>
      <c r="E11" s="175"/>
      <c r="F11" s="35"/>
    </row>
    <row r="12" spans="1:6" ht="15" customHeight="1" x14ac:dyDescent="0.35">
      <c r="A12" s="174">
        <f t="shared" si="0"/>
        <v>2012</v>
      </c>
      <c r="B12" s="22"/>
      <c r="C12" s="134">
        <v>1002213</v>
      </c>
      <c r="D12" s="48"/>
      <c r="E12" s="175"/>
      <c r="F12" s="35"/>
    </row>
    <row r="13" spans="1:6" ht="15" customHeight="1" x14ac:dyDescent="0.35">
      <c r="A13" s="174">
        <f t="shared" si="0"/>
        <v>2013</v>
      </c>
      <c r="B13" s="22"/>
      <c r="C13" s="134">
        <v>1053213</v>
      </c>
      <c r="D13" s="48"/>
      <c r="E13" s="175"/>
      <c r="F13" s="35"/>
    </row>
    <row r="14" spans="1:6" ht="15" customHeight="1" x14ac:dyDescent="0.35">
      <c r="A14" s="174">
        <f t="shared" si="0"/>
        <v>2014</v>
      </c>
      <c r="B14" s="22"/>
      <c r="C14" s="134">
        <v>969958</v>
      </c>
      <c r="D14" s="48"/>
      <c r="E14" s="175"/>
      <c r="F14" s="35"/>
    </row>
    <row r="15" spans="1:6" ht="15" customHeight="1" x14ac:dyDescent="0.35">
      <c r="A15" s="174">
        <f t="shared" si="0"/>
        <v>2015</v>
      </c>
      <c r="B15" s="22"/>
      <c r="C15" s="134">
        <v>474976</v>
      </c>
      <c r="D15" s="48"/>
      <c r="E15" s="175"/>
      <c r="F15" s="35"/>
    </row>
    <row r="16" spans="1:6" ht="15" customHeight="1" x14ac:dyDescent="0.35">
      <c r="A16" s="174">
        <f t="shared" si="0"/>
        <v>2016</v>
      </c>
      <c r="B16" s="22"/>
      <c r="C16" s="134">
        <v>614657</v>
      </c>
      <c r="D16" s="48"/>
      <c r="E16" s="175"/>
      <c r="F16" s="35"/>
    </row>
    <row r="17" spans="1:6" ht="15" customHeight="1" x14ac:dyDescent="0.35">
      <c r="A17" s="174">
        <f t="shared" si="0"/>
        <v>2017</v>
      </c>
      <c r="B17" s="22"/>
      <c r="C17" s="134">
        <v>573548</v>
      </c>
      <c r="D17" s="48"/>
      <c r="E17" s="175"/>
      <c r="F17" s="35"/>
    </row>
    <row r="18" spans="1:6" ht="15" customHeight="1" x14ac:dyDescent="0.35">
      <c r="A18" s="174">
        <f t="shared" si="0"/>
        <v>2018</v>
      </c>
      <c r="B18" s="22"/>
      <c r="C18" s="134">
        <v>394720</v>
      </c>
      <c r="D18" s="48"/>
      <c r="E18" s="175"/>
      <c r="F18" s="35"/>
    </row>
    <row r="19" spans="1:6" ht="15" customHeight="1" x14ac:dyDescent="0.35">
      <c r="A19" s="174">
        <f>A20-1</f>
        <v>2019</v>
      </c>
      <c r="B19" s="22"/>
      <c r="C19" s="23" t="s">
        <v>130</v>
      </c>
      <c r="D19" s="48"/>
      <c r="E19" s="175"/>
      <c r="F19" s="35"/>
    </row>
    <row r="20" spans="1:6" ht="15" customHeight="1" x14ac:dyDescent="0.35">
      <c r="A20" s="176">
        <f>Kostenkalkulation!E19</f>
        <v>2020</v>
      </c>
      <c r="B20" s="25"/>
      <c r="C20" s="25"/>
      <c r="D20" s="177"/>
      <c r="E20" s="178"/>
    </row>
    <row r="21" spans="1:6" ht="15" customHeight="1" x14ac:dyDescent="0.35">
      <c r="A21" s="179">
        <f>A20+1</f>
        <v>2021</v>
      </c>
      <c r="B21" s="134">
        <v>400000</v>
      </c>
      <c r="C21" s="134">
        <v>50000</v>
      </c>
      <c r="D21" s="180">
        <f>A21-$E$3</f>
        <v>1</v>
      </c>
      <c r="E21" s="158">
        <f>(B21+C21)/(1/1+$C$3)^D21</f>
        <v>436893.20388349512</v>
      </c>
    </row>
    <row r="22" spans="1:6" ht="15" customHeight="1" x14ac:dyDescent="0.35">
      <c r="A22" s="179">
        <f t="shared" ref="A22:A70" si="1">A21+1</f>
        <v>2022</v>
      </c>
      <c r="B22" s="134">
        <v>400000</v>
      </c>
      <c r="C22" s="134">
        <v>50000</v>
      </c>
      <c r="D22" s="180">
        <f t="shared" ref="D22:D70" si="2">A22-$E$3</f>
        <v>2</v>
      </c>
      <c r="E22" s="158">
        <f>(B22+C22)/(1/1+$C$3)^D22</f>
        <v>424168.15911018947</v>
      </c>
    </row>
    <row r="23" spans="1:6" ht="15" customHeight="1" x14ac:dyDescent="0.35">
      <c r="A23" s="179">
        <f t="shared" si="1"/>
        <v>2023</v>
      </c>
      <c r="B23" s="134">
        <v>400000</v>
      </c>
      <c r="C23" s="134">
        <v>50000</v>
      </c>
      <c r="D23" s="180">
        <f t="shared" si="2"/>
        <v>3</v>
      </c>
      <c r="E23" s="158">
        <f t="shared" ref="E23:E69" si="3">(B23+C23)/(1/1+$C$3)^D23</f>
        <v>411813.7467089218</v>
      </c>
    </row>
    <row r="24" spans="1:6" ht="15" customHeight="1" x14ac:dyDescent="0.35">
      <c r="A24" s="179">
        <f t="shared" si="1"/>
        <v>2024</v>
      </c>
      <c r="B24" s="134">
        <v>400000</v>
      </c>
      <c r="C24" s="134">
        <v>50000</v>
      </c>
      <c r="D24" s="180">
        <f t="shared" si="2"/>
        <v>4</v>
      </c>
      <c r="E24" s="158">
        <f>(B24+C24)/(1/1+$C$3)^D24</f>
        <v>399819.17156206002</v>
      </c>
    </row>
    <row r="25" spans="1:6" ht="15" customHeight="1" x14ac:dyDescent="0.35">
      <c r="A25" s="179">
        <f t="shared" si="1"/>
        <v>2025</v>
      </c>
      <c r="B25" s="134">
        <v>400000</v>
      </c>
      <c r="C25" s="134">
        <v>50000</v>
      </c>
      <c r="D25" s="180">
        <f t="shared" si="2"/>
        <v>5</v>
      </c>
      <c r="E25" s="158">
        <f t="shared" si="3"/>
        <v>388173.95297287387</v>
      </c>
    </row>
    <row r="26" spans="1:6" ht="15" customHeight="1" x14ac:dyDescent="0.35">
      <c r="A26" s="179">
        <f t="shared" si="1"/>
        <v>2026</v>
      </c>
      <c r="B26" s="134">
        <v>400000</v>
      </c>
      <c r="C26" s="134">
        <v>50000</v>
      </c>
      <c r="D26" s="180">
        <f t="shared" si="2"/>
        <v>6</v>
      </c>
      <c r="E26" s="158">
        <f t="shared" si="3"/>
        <v>376867.91550764447</v>
      </c>
    </row>
    <row r="27" spans="1:6" ht="15" customHeight="1" x14ac:dyDescent="0.35">
      <c r="A27" s="179">
        <f t="shared" si="1"/>
        <v>2027</v>
      </c>
      <c r="B27" s="134">
        <v>400000</v>
      </c>
      <c r="C27" s="134">
        <v>50000</v>
      </c>
      <c r="D27" s="180">
        <f t="shared" si="2"/>
        <v>7</v>
      </c>
      <c r="E27" s="158">
        <f t="shared" si="3"/>
        <v>365891.18010450917</v>
      </c>
    </row>
    <row r="28" spans="1:6" ht="15" customHeight="1" x14ac:dyDescent="0.35">
      <c r="A28" s="179">
        <f t="shared" si="1"/>
        <v>2028</v>
      </c>
      <c r="B28" s="134">
        <v>400000</v>
      </c>
      <c r="C28" s="134">
        <v>50000</v>
      </c>
      <c r="D28" s="180">
        <f t="shared" si="2"/>
        <v>8</v>
      </c>
      <c r="E28" s="158">
        <f t="shared" si="3"/>
        <v>355234.15544127108</v>
      </c>
    </row>
    <row r="29" spans="1:6" ht="15" customHeight="1" x14ac:dyDescent="0.35">
      <c r="A29" s="179">
        <f t="shared" si="1"/>
        <v>2029</v>
      </c>
      <c r="B29" s="134">
        <v>400000</v>
      </c>
      <c r="C29" s="134">
        <v>50000</v>
      </c>
      <c r="D29" s="180">
        <f t="shared" si="2"/>
        <v>9</v>
      </c>
      <c r="E29" s="158">
        <f t="shared" si="3"/>
        <v>344887.52955463214</v>
      </c>
    </row>
    <row r="30" spans="1:6" ht="15" customHeight="1" x14ac:dyDescent="0.35">
      <c r="A30" s="179">
        <f t="shared" si="1"/>
        <v>2030</v>
      </c>
      <c r="B30" s="134">
        <v>400000</v>
      </c>
      <c r="C30" s="134">
        <v>50000</v>
      </c>
      <c r="D30" s="180">
        <f t="shared" si="2"/>
        <v>10</v>
      </c>
      <c r="E30" s="158">
        <f t="shared" si="3"/>
        <v>334842.26170352631</v>
      </c>
    </row>
    <row r="31" spans="1:6" ht="15" customHeight="1" x14ac:dyDescent="0.35">
      <c r="A31" s="179">
        <f t="shared" si="1"/>
        <v>2031</v>
      </c>
      <c r="B31" s="134">
        <v>200000</v>
      </c>
      <c r="C31" s="134">
        <v>50000</v>
      </c>
      <c r="D31" s="180">
        <f t="shared" si="2"/>
        <v>11</v>
      </c>
      <c r="E31" s="158">
        <f t="shared" si="3"/>
        <v>180605.31914969056</v>
      </c>
    </row>
    <row r="32" spans="1:6" ht="15" customHeight="1" x14ac:dyDescent="0.35">
      <c r="A32" s="179">
        <f t="shared" si="1"/>
        <v>2032</v>
      </c>
      <c r="B32" s="134">
        <v>200000</v>
      </c>
      <c r="C32" s="134">
        <v>50000</v>
      </c>
      <c r="D32" s="180">
        <f t="shared" si="2"/>
        <v>12</v>
      </c>
      <c r="E32" s="158">
        <f t="shared" si="3"/>
        <v>175344.9700482433</v>
      </c>
    </row>
    <row r="33" spans="1:5" ht="15" customHeight="1" x14ac:dyDescent="0.35">
      <c r="A33" s="179">
        <f t="shared" si="1"/>
        <v>2033</v>
      </c>
      <c r="B33" s="134">
        <v>200000</v>
      </c>
      <c r="C33" s="134">
        <v>50000</v>
      </c>
      <c r="D33" s="180">
        <f t="shared" si="2"/>
        <v>13</v>
      </c>
      <c r="E33" s="158">
        <f t="shared" si="3"/>
        <v>170237.83499829448</v>
      </c>
    </row>
    <row r="34" spans="1:5" ht="15" customHeight="1" x14ac:dyDescent="0.35">
      <c r="A34" s="179">
        <f t="shared" si="1"/>
        <v>2034</v>
      </c>
      <c r="B34" s="134">
        <v>200000</v>
      </c>
      <c r="C34" s="134">
        <v>50000</v>
      </c>
      <c r="D34" s="180">
        <f t="shared" si="2"/>
        <v>14</v>
      </c>
      <c r="E34" s="158">
        <f t="shared" si="3"/>
        <v>165279.4514546548</v>
      </c>
    </row>
    <row r="35" spans="1:5" ht="15" customHeight="1" x14ac:dyDescent="0.35">
      <c r="A35" s="179">
        <f t="shared" si="1"/>
        <v>2035</v>
      </c>
      <c r="B35" s="134">
        <v>200000</v>
      </c>
      <c r="C35" s="134">
        <v>50000</v>
      </c>
      <c r="D35" s="180">
        <f t="shared" si="2"/>
        <v>15</v>
      </c>
      <c r="E35" s="158">
        <f t="shared" si="3"/>
        <v>160465.48684917943</v>
      </c>
    </row>
    <row r="36" spans="1:5" ht="15" customHeight="1" x14ac:dyDescent="0.35">
      <c r="A36" s="179">
        <f t="shared" si="1"/>
        <v>2036</v>
      </c>
      <c r="B36" s="134">
        <v>200000</v>
      </c>
      <c r="C36" s="134">
        <v>50000</v>
      </c>
      <c r="D36" s="180">
        <f t="shared" si="2"/>
        <v>16</v>
      </c>
      <c r="E36" s="158">
        <f t="shared" si="3"/>
        <v>155791.73480502859</v>
      </c>
    </row>
    <row r="37" spans="1:5" ht="15" customHeight="1" x14ac:dyDescent="0.35">
      <c r="A37" s="179">
        <f t="shared" si="1"/>
        <v>2037</v>
      </c>
      <c r="B37" s="134">
        <v>200000</v>
      </c>
      <c r="C37" s="134">
        <v>50000</v>
      </c>
      <c r="D37" s="180">
        <f t="shared" si="2"/>
        <v>17</v>
      </c>
      <c r="E37" s="158">
        <f t="shared" si="3"/>
        <v>151254.11146119281</v>
      </c>
    </row>
    <row r="38" spans="1:5" ht="15" customHeight="1" x14ac:dyDescent="0.35">
      <c r="A38" s="179">
        <f t="shared" si="1"/>
        <v>2038</v>
      </c>
      <c r="B38" s="134">
        <v>200000</v>
      </c>
      <c r="C38" s="134">
        <v>50000</v>
      </c>
      <c r="D38" s="180">
        <f t="shared" si="2"/>
        <v>18</v>
      </c>
      <c r="E38" s="158">
        <f t="shared" si="3"/>
        <v>146848.65190407069</v>
      </c>
    </row>
    <row r="39" spans="1:5" ht="15" customHeight="1" x14ac:dyDescent="0.35">
      <c r="A39" s="179">
        <f t="shared" si="1"/>
        <v>2039</v>
      </c>
      <c r="B39" s="134">
        <v>200000</v>
      </c>
      <c r="C39" s="134">
        <v>50000</v>
      </c>
      <c r="D39" s="180">
        <f t="shared" si="2"/>
        <v>19</v>
      </c>
      <c r="E39" s="158">
        <f t="shared" si="3"/>
        <v>142571.50670298125</v>
      </c>
    </row>
    <row r="40" spans="1:5" ht="15" customHeight="1" x14ac:dyDescent="0.35">
      <c r="A40" s="179">
        <f t="shared" si="1"/>
        <v>2040</v>
      </c>
      <c r="B40" s="134">
        <v>200000</v>
      </c>
      <c r="C40" s="134">
        <v>50000</v>
      </c>
      <c r="D40" s="180">
        <f t="shared" si="2"/>
        <v>20</v>
      </c>
      <c r="E40" s="158">
        <f t="shared" si="3"/>
        <v>138418.93854658375</v>
      </c>
    </row>
    <row r="41" spans="1:5" ht="15" customHeight="1" x14ac:dyDescent="0.35">
      <c r="A41" s="179">
        <f t="shared" si="1"/>
        <v>2041</v>
      </c>
      <c r="B41" s="134">
        <v>100000</v>
      </c>
      <c r="C41" s="134">
        <v>50000</v>
      </c>
      <c r="D41" s="180">
        <f t="shared" si="2"/>
        <v>21</v>
      </c>
      <c r="E41" s="158">
        <f t="shared" si="3"/>
        <v>80632.391386359464</v>
      </c>
    </row>
    <row r="42" spans="1:5" ht="15" customHeight="1" x14ac:dyDescent="0.35">
      <c r="A42" s="179">
        <f t="shared" si="1"/>
        <v>2042</v>
      </c>
      <c r="B42" s="134">
        <v>100000</v>
      </c>
      <c r="C42" s="134">
        <v>50000</v>
      </c>
      <c r="D42" s="180">
        <f t="shared" si="2"/>
        <v>22</v>
      </c>
      <c r="E42" s="158">
        <f t="shared" si="3"/>
        <v>78283.875132387824</v>
      </c>
    </row>
    <row r="43" spans="1:5" ht="15" customHeight="1" x14ac:dyDescent="0.35">
      <c r="A43" s="179">
        <f t="shared" si="1"/>
        <v>2043</v>
      </c>
      <c r="B43" s="134">
        <v>100000</v>
      </c>
      <c r="C43" s="134">
        <v>50000</v>
      </c>
      <c r="D43" s="180">
        <f t="shared" si="2"/>
        <v>23</v>
      </c>
      <c r="E43" s="158">
        <f t="shared" si="3"/>
        <v>76003.762264454199</v>
      </c>
    </row>
    <row r="44" spans="1:5" ht="15" customHeight="1" x14ac:dyDescent="0.35">
      <c r="A44" s="179">
        <f t="shared" si="1"/>
        <v>2044</v>
      </c>
      <c r="B44" s="134">
        <v>100000</v>
      </c>
      <c r="C44" s="134">
        <v>50000</v>
      </c>
      <c r="D44" s="180">
        <f t="shared" si="2"/>
        <v>24</v>
      </c>
      <c r="E44" s="158">
        <f t="shared" si="3"/>
        <v>73790.060450926423</v>
      </c>
    </row>
    <row r="45" spans="1:5" ht="15" customHeight="1" x14ac:dyDescent="0.35">
      <c r="A45" s="179">
        <f t="shared" si="1"/>
        <v>2045</v>
      </c>
      <c r="B45" s="134">
        <v>100000</v>
      </c>
      <c r="C45" s="134">
        <v>50000</v>
      </c>
      <c r="D45" s="180">
        <f t="shared" si="2"/>
        <v>25</v>
      </c>
      <c r="E45" s="158">
        <f t="shared" si="3"/>
        <v>71640.835389248954</v>
      </c>
    </row>
    <row r="46" spans="1:5" ht="15" customHeight="1" x14ac:dyDescent="0.35">
      <c r="A46" s="179">
        <f t="shared" si="1"/>
        <v>2046</v>
      </c>
      <c r="B46" s="134">
        <v>100000</v>
      </c>
      <c r="C46" s="134">
        <v>50000</v>
      </c>
      <c r="D46" s="180">
        <f t="shared" si="2"/>
        <v>26</v>
      </c>
      <c r="E46" s="158">
        <f t="shared" si="3"/>
        <v>69554.209115775666</v>
      </c>
    </row>
    <row r="47" spans="1:5" ht="15" customHeight="1" x14ac:dyDescent="0.35">
      <c r="A47" s="179">
        <f t="shared" si="1"/>
        <v>2047</v>
      </c>
      <c r="B47" s="134">
        <v>100000</v>
      </c>
      <c r="C47" s="134">
        <v>50000</v>
      </c>
      <c r="D47" s="180">
        <f t="shared" si="2"/>
        <v>27</v>
      </c>
      <c r="E47" s="158">
        <f t="shared" si="3"/>
        <v>67528.358364830754</v>
      </c>
    </row>
    <row r="48" spans="1:5" ht="15" customHeight="1" x14ac:dyDescent="0.35">
      <c r="A48" s="179">
        <f t="shared" si="1"/>
        <v>2048</v>
      </c>
      <c r="B48" s="134">
        <v>100000</v>
      </c>
      <c r="C48" s="134">
        <v>50000</v>
      </c>
      <c r="D48" s="180">
        <f t="shared" si="2"/>
        <v>28</v>
      </c>
      <c r="E48" s="158">
        <f t="shared" si="3"/>
        <v>65561.512975563834</v>
      </c>
    </row>
    <row r="49" spans="1:5" ht="15" customHeight="1" x14ac:dyDescent="0.35">
      <c r="A49" s="179">
        <f t="shared" si="1"/>
        <v>2049</v>
      </c>
      <c r="B49" s="134">
        <v>100000</v>
      </c>
      <c r="C49" s="134">
        <v>50000</v>
      </c>
      <c r="D49" s="180">
        <f t="shared" si="2"/>
        <v>29</v>
      </c>
      <c r="E49" s="158">
        <f t="shared" si="3"/>
        <v>63651.954345207618</v>
      </c>
    </row>
    <row r="50" spans="1:5" ht="15" customHeight="1" x14ac:dyDescent="0.35">
      <c r="A50" s="179">
        <f t="shared" si="1"/>
        <v>2050</v>
      </c>
      <c r="B50" s="134">
        <v>100000</v>
      </c>
      <c r="C50" s="134">
        <v>50000</v>
      </c>
      <c r="D50" s="180">
        <f t="shared" si="2"/>
        <v>30</v>
      </c>
      <c r="E50" s="158">
        <f t="shared" si="3"/>
        <v>61798.013927386033</v>
      </c>
    </row>
    <row r="51" spans="1:5" ht="15" customHeight="1" x14ac:dyDescent="0.35">
      <c r="A51" s="179">
        <f t="shared" si="1"/>
        <v>2051</v>
      </c>
      <c r="B51" s="134">
        <v>100000</v>
      </c>
      <c r="C51" s="134">
        <v>50000</v>
      </c>
      <c r="D51" s="180">
        <f t="shared" si="2"/>
        <v>31</v>
      </c>
      <c r="E51" s="158">
        <f t="shared" si="3"/>
        <v>59998.071774161188</v>
      </c>
    </row>
    <row r="52" spans="1:5" ht="15" customHeight="1" x14ac:dyDescent="0.35">
      <c r="A52" s="179">
        <f t="shared" si="1"/>
        <v>2052</v>
      </c>
      <c r="B52" s="134">
        <v>100000</v>
      </c>
      <c r="C52" s="134">
        <v>50000</v>
      </c>
      <c r="D52" s="180">
        <f t="shared" si="2"/>
        <v>32</v>
      </c>
      <c r="E52" s="158">
        <f t="shared" si="3"/>
        <v>58250.555120544857</v>
      </c>
    </row>
    <row r="53" spans="1:5" ht="15" customHeight="1" x14ac:dyDescent="0.35">
      <c r="A53" s="179">
        <f t="shared" si="1"/>
        <v>2053</v>
      </c>
      <c r="B53" s="134">
        <v>100000</v>
      </c>
      <c r="C53" s="134">
        <v>50000</v>
      </c>
      <c r="D53" s="180">
        <f t="shared" si="2"/>
        <v>33</v>
      </c>
      <c r="E53" s="158">
        <f t="shared" si="3"/>
        <v>56553.937010237722</v>
      </c>
    </row>
    <row r="54" spans="1:5" ht="15" customHeight="1" x14ac:dyDescent="0.35">
      <c r="A54" s="179">
        <f t="shared" si="1"/>
        <v>2054</v>
      </c>
      <c r="B54" s="134">
        <v>100000</v>
      </c>
      <c r="C54" s="134">
        <v>50000</v>
      </c>
      <c r="D54" s="180">
        <f t="shared" si="2"/>
        <v>34</v>
      </c>
      <c r="E54" s="158">
        <f t="shared" si="3"/>
        <v>54906.734961395858</v>
      </c>
    </row>
    <row r="55" spans="1:5" ht="15" customHeight="1" x14ac:dyDescent="0.35">
      <c r="A55" s="179">
        <f t="shared" si="1"/>
        <v>2055</v>
      </c>
      <c r="B55" s="134">
        <v>100000</v>
      </c>
      <c r="C55" s="134">
        <v>50000</v>
      </c>
      <c r="D55" s="180">
        <f t="shared" si="2"/>
        <v>35</v>
      </c>
      <c r="E55" s="158">
        <f t="shared" si="3"/>
        <v>53307.509671258107</v>
      </c>
    </row>
    <row r="56" spans="1:5" ht="15" customHeight="1" x14ac:dyDescent="0.35">
      <c r="A56" s="179">
        <f t="shared" si="1"/>
        <v>2056</v>
      </c>
      <c r="B56" s="134">
        <v>100000</v>
      </c>
      <c r="C56" s="134">
        <v>50000</v>
      </c>
      <c r="D56" s="180">
        <f t="shared" si="2"/>
        <v>36</v>
      </c>
      <c r="E56" s="158">
        <f t="shared" si="3"/>
        <v>51754.863758503016</v>
      </c>
    </row>
    <row r="57" spans="1:5" ht="15" customHeight="1" x14ac:dyDescent="0.35">
      <c r="A57" s="179">
        <f t="shared" si="1"/>
        <v>2057</v>
      </c>
      <c r="B57" s="134">
        <v>100000</v>
      </c>
      <c r="C57" s="134">
        <v>50000</v>
      </c>
      <c r="D57" s="180">
        <f t="shared" si="2"/>
        <v>37</v>
      </c>
      <c r="E57" s="158">
        <f t="shared" si="3"/>
        <v>50247.440542235941</v>
      </c>
    </row>
    <row r="58" spans="1:5" ht="15" customHeight="1" x14ac:dyDescent="0.35">
      <c r="A58" s="179">
        <f t="shared" si="1"/>
        <v>2058</v>
      </c>
      <c r="B58" s="134">
        <v>100000</v>
      </c>
      <c r="C58" s="134">
        <v>50000</v>
      </c>
      <c r="D58" s="180">
        <f t="shared" si="2"/>
        <v>38</v>
      </c>
      <c r="E58" s="158">
        <f t="shared" si="3"/>
        <v>48783.92285653975</v>
      </c>
    </row>
    <row r="59" spans="1:5" ht="15" customHeight="1" x14ac:dyDescent="0.35">
      <c r="A59" s="179">
        <f t="shared" si="1"/>
        <v>2059</v>
      </c>
      <c r="B59" s="134">
        <v>100000</v>
      </c>
      <c r="C59" s="134">
        <v>50000</v>
      </c>
      <c r="D59" s="180">
        <f t="shared" si="2"/>
        <v>39</v>
      </c>
      <c r="E59" s="158">
        <f t="shared" si="3"/>
        <v>47363.031899553149</v>
      </c>
    </row>
    <row r="60" spans="1:5" ht="15" customHeight="1" x14ac:dyDescent="0.35">
      <c r="A60" s="179">
        <f t="shared" si="1"/>
        <v>2060</v>
      </c>
      <c r="B60" s="134">
        <v>100000</v>
      </c>
      <c r="C60" s="134">
        <v>50000</v>
      </c>
      <c r="D60" s="180">
        <f t="shared" si="2"/>
        <v>40</v>
      </c>
      <c r="E60" s="158">
        <f t="shared" si="3"/>
        <v>45983.526116071029</v>
      </c>
    </row>
    <row r="61" spans="1:5" ht="15" customHeight="1" x14ac:dyDescent="0.35">
      <c r="A61" s="179">
        <f t="shared" si="1"/>
        <v>2061</v>
      </c>
      <c r="B61" s="134">
        <v>100000</v>
      </c>
      <c r="C61" s="134">
        <v>50000</v>
      </c>
      <c r="D61" s="180">
        <f t="shared" si="2"/>
        <v>41</v>
      </c>
      <c r="E61" s="158">
        <f t="shared" si="3"/>
        <v>44644.200112690312</v>
      </c>
    </row>
    <row r="62" spans="1:5" ht="15" customHeight="1" x14ac:dyDescent="0.35">
      <c r="A62" s="179">
        <f t="shared" si="1"/>
        <v>2062</v>
      </c>
      <c r="B62" s="134">
        <v>100000</v>
      </c>
      <c r="C62" s="134">
        <v>50000</v>
      </c>
      <c r="D62" s="180">
        <f t="shared" si="2"/>
        <v>42</v>
      </c>
      <c r="E62" s="158">
        <f t="shared" si="3"/>
        <v>43343.883604553703</v>
      </c>
    </row>
    <row r="63" spans="1:5" ht="15" customHeight="1" x14ac:dyDescent="0.35">
      <c r="A63" s="179">
        <f t="shared" si="1"/>
        <v>2063</v>
      </c>
      <c r="B63" s="134">
        <v>100000</v>
      </c>
      <c r="C63" s="134">
        <v>50000</v>
      </c>
      <c r="D63" s="180">
        <f t="shared" si="2"/>
        <v>43</v>
      </c>
      <c r="E63" s="158">
        <f t="shared" si="3"/>
        <v>42081.440392770586</v>
      </c>
    </row>
    <row r="64" spans="1:5" ht="15" customHeight="1" x14ac:dyDescent="0.35">
      <c r="A64" s="179">
        <f t="shared" si="1"/>
        <v>2064</v>
      </c>
      <c r="B64" s="134">
        <v>100000</v>
      </c>
      <c r="C64" s="134">
        <v>50000</v>
      </c>
      <c r="D64" s="180">
        <f t="shared" si="2"/>
        <v>44</v>
      </c>
      <c r="E64" s="158">
        <f t="shared" si="3"/>
        <v>40855.767371621936</v>
      </c>
    </row>
    <row r="65" spans="1:5" ht="15" customHeight="1" x14ac:dyDescent="0.35">
      <c r="A65" s="179">
        <f t="shared" si="1"/>
        <v>2065</v>
      </c>
      <c r="B65" s="134">
        <v>100000</v>
      </c>
      <c r="C65" s="134">
        <v>50000</v>
      </c>
      <c r="D65" s="180">
        <f t="shared" si="2"/>
        <v>45</v>
      </c>
      <c r="E65" s="158">
        <f t="shared" si="3"/>
        <v>39665.793564681488</v>
      </c>
    </row>
    <row r="66" spans="1:5" ht="15" customHeight="1" x14ac:dyDescent="0.35">
      <c r="A66" s="179">
        <f t="shared" si="1"/>
        <v>2066</v>
      </c>
      <c r="B66" s="134">
        <v>100000</v>
      </c>
      <c r="C66" s="134">
        <v>50000</v>
      </c>
      <c r="D66" s="180">
        <f t="shared" si="2"/>
        <v>46</v>
      </c>
      <c r="E66" s="158">
        <f t="shared" si="3"/>
        <v>38510.479189011152</v>
      </c>
    </row>
    <row r="67" spans="1:5" ht="15" customHeight="1" x14ac:dyDescent="0.35">
      <c r="A67" s="179">
        <f t="shared" si="1"/>
        <v>2067</v>
      </c>
      <c r="B67" s="134">
        <v>100000</v>
      </c>
      <c r="C67" s="134">
        <v>50000</v>
      </c>
      <c r="D67" s="180">
        <f t="shared" si="2"/>
        <v>47</v>
      </c>
      <c r="E67" s="158">
        <f t="shared" si="3"/>
        <v>37388.814746612763</v>
      </c>
    </row>
    <row r="68" spans="1:5" ht="15" customHeight="1" x14ac:dyDescent="0.35">
      <c r="A68" s="179">
        <f t="shared" si="1"/>
        <v>2068</v>
      </c>
      <c r="B68" s="134">
        <v>100000</v>
      </c>
      <c r="C68" s="134">
        <v>50000</v>
      </c>
      <c r="D68" s="180">
        <f t="shared" si="2"/>
        <v>48</v>
      </c>
      <c r="E68" s="158">
        <f t="shared" si="3"/>
        <v>36299.820142342498</v>
      </c>
    </row>
    <row r="69" spans="1:5" ht="15" customHeight="1" x14ac:dyDescent="0.35">
      <c r="A69" s="179">
        <f t="shared" si="1"/>
        <v>2069</v>
      </c>
      <c r="B69" s="134">
        <v>100000</v>
      </c>
      <c r="C69" s="134">
        <v>50000</v>
      </c>
      <c r="D69" s="180">
        <f t="shared" si="2"/>
        <v>49</v>
      </c>
      <c r="E69" s="158">
        <f t="shared" si="3"/>
        <v>35242.543827516987</v>
      </c>
    </row>
    <row r="70" spans="1:5" ht="15" customHeight="1" thickBot="1" x14ac:dyDescent="0.4">
      <c r="A70" s="181">
        <f t="shared" si="1"/>
        <v>2070</v>
      </c>
      <c r="B70" s="135">
        <v>100000</v>
      </c>
      <c r="C70" s="135">
        <v>50000</v>
      </c>
      <c r="D70" s="182">
        <f t="shared" si="2"/>
        <v>50</v>
      </c>
      <c r="E70" s="162">
        <f>(B70+C70)/(1/1+$C$3)^D70</f>
        <v>34216.061968463095</v>
      </c>
    </row>
  </sheetData>
  <sheetProtection algorithmName="SHA-512" hashValue="GPUeoZtTk0CuJqIIckqVhzGee2DAB2gi7Cq/EJ/PYtpk/nd8gc/DeenxuWWT2EH6O6tjkR/uWuX5XA0ABSaXhA==" saltValue="bShVA8Q251K2eXhVjyBeYg==" spinCount="100000" sheet="1" objects="1" scenarios="1"/>
  <pageMargins left="0.7" right="0.7" top="0.78740157499999996" bottom="0.78740157499999996" header="0.3" footer="0.3"/>
  <pageSetup paperSize="9" orientation="portrait" horizontalDpi="360" verticalDpi="360" r:id="rId1"/>
  <headerFooter differentFirst="1">
    <oddHeader>&amp;R&amp;G</oddHeader>
    <firstHeader>&amp;R&amp;G</first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9"/>
  <sheetViews>
    <sheetView view="pageLayout" zoomScaleNormal="90" workbookViewId="0">
      <selection activeCell="D54" sqref="D54"/>
    </sheetView>
  </sheetViews>
  <sheetFormatPr baseColWidth="10" defaultColWidth="11.453125" defaultRowHeight="14.5" x14ac:dyDescent="0.35"/>
  <cols>
    <col min="1" max="2" width="22.54296875" style="136" customWidth="1"/>
    <col min="3" max="3" width="20.26953125" style="137" customWidth="1"/>
    <col min="4" max="16384" width="11.453125" style="137"/>
  </cols>
  <sheetData>
    <row r="1" spans="1:3" ht="21" x14ac:dyDescent="0.5">
      <c r="A1" s="164" t="s">
        <v>43</v>
      </c>
    </row>
    <row r="2" spans="1:3" ht="16" thickBot="1" x14ac:dyDescent="0.4">
      <c r="A2" s="139" t="s">
        <v>72</v>
      </c>
    </row>
    <row r="3" spans="1:3" ht="16.5" x14ac:dyDescent="0.35">
      <c r="A3" s="183" t="s">
        <v>14</v>
      </c>
      <c r="B3" s="184" t="s">
        <v>45</v>
      </c>
      <c r="C3" s="185" t="s">
        <v>73</v>
      </c>
    </row>
    <row r="4" spans="1:3" x14ac:dyDescent="0.35">
      <c r="A4" s="179">
        <f t="shared" ref="A4:A8" si="0">A5-1</f>
        <v>2015</v>
      </c>
      <c r="B4" s="26">
        <v>674878</v>
      </c>
      <c r="C4" s="186"/>
    </row>
    <row r="5" spans="1:3" x14ac:dyDescent="0.35">
      <c r="A5" s="179">
        <f t="shared" si="0"/>
        <v>2016</v>
      </c>
      <c r="B5" s="26">
        <v>765429</v>
      </c>
      <c r="C5" s="186"/>
    </row>
    <row r="6" spans="1:3" x14ac:dyDescent="0.35">
      <c r="A6" s="179">
        <f t="shared" si="0"/>
        <v>2017</v>
      </c>
      <c r="B6" s="26">
        <v>751774</v>
      </c>
      <c r="C6" s="186"/>
    </row>
    <row r="7" spans="1:3" x14ac:dyDescent="0.35">
      <c r="A7" s="179">
        <f t="shared" si="0"/>
        <v>2018</v>
      </c>
      <c r="B7" s="26">
        <v>698592</v>
      </c>
      <c r="C7" s="186"/>
    </row>
    <row r="8" spans="1:3" x14ac:dyDescent="0.35">
      <c r="A8" s="179">
        <f t="shared" si="0"/>
        <v>2019</v>
      </c>
      <c r="B8" s="26">
        <v>721060</v>
      </c>
      <c r="C8" s="186"/>
    </row>
    <row r="9" spans="1:3" x14ac:dyDescent="0.35">
      <c r="A9" s="179">
        <f>A10-1</f>
        <v>2020</v>
      </c>
      <c r="B9" s="26">
        <v>725655</v>
      </c>
      <c r="C9" s="186"/>
    </row>
    <row r="10" spans="1:3" x14ac:dyDescent="0.35">
      <c r="A10" s="179">
        <f>Kostenkalkulation!E19+1</f>
        <v>2021</v>
      </c>
      <c r="B10" s="26">
        <v>725000</v>
      </c>
      <c r="C10" s="158">
        <f>B10*kalkulierteBK!$F$10</f>
        <v>2195827.6380436253</v>
      </c>
    </row>
    <row r="11" spans="1:3" x14ac:dyDescent="0.35">
      <c r="A11" s="179">
        <f>A10+1</f>
        <v>2022</v>
      </c>
      <c r="B11" s="187">
        <f>B10*1.001</f>
        <v>725724.99999999988</v>
      </c>
      <c r="C11" s="158">
        <f>B11*kalkulierteBK!$F$10</f>
        <v>2198023.4656816684</v>
      </c>
    </row>
    <row r="12" spans="1:3" x14ac:dyDescent="0.35">
      <c r="A12" s="179">
        <f t="shared" ref="A12:A59" si="1">A11+1</f>
        <v>2023</v>
      </c>
      <c r="B12" s="187">
        <f t="shared" ref="B12:B25" si="2">B11*1.001</f>
        <v>726450.72499999986</v>
      </c>
      <c r="C12" s="158">
        <f>B12*kalkulierteBK!$F$10</f>
        <v>2200221.4891473502</v>
      </c>
    </row>
    <row r="13" spans="1:3" x14ac:dyDescent="0.35">
      <c r="A13" s="179">
        <f t="shared" si="1"/>
        <v>2024</v>
      </c>
      <c r="B13" s="187">
        <f t="shared" si="2"/>
        <v>727177.17572499975</v>
      </c>
      <c r="C13" s="158">
        <f>B13*kalkulierteBK!$F$10</f>
        <v>2202421.710636497</v>
      </c>
    </row>
    <row r="14" spans="1:3" x14ac:dyDescent="0.35">
      <c r="A14" s="179">
        <f t="shared" si="1"/>
        <v>2025</v>
      </c>
      <c r="B14" s="187">
        <f t="shared" si="2"/>
        <v>727904.35290072463</v>
      </c>
      <c r="C14" s="158">
        <f>B14*kalkulierteBK!$F$10</f>
        <v>2204624.1323471335</v>
      </c>
    </row>
    <row r="15" spans="1:3" x14ac:dyDescent="0.35">
      <c r="A15" s="179">
        <f t="shared" si="1"/>
        <v>2026</v>
      </c>
      <c r="B15" s="187">
        <f t="shared" si="2"/>
        <v>728632.25725362531</v>
      </c>
      <c r="C15" s="158">
        <f>B15*kalkulierteBK!$F$10</f>
        <v>2206828.7564794803</v>
      </c>
    </row>
    <row r="16" spans="1:3" x14ac:dyDescent="0.35">
      <c r="A16" s="179">
        <f t="shared" si="1"/>
        <v>2027</v>
      </c>
      <c r="B16" s="187">
        <f t="shared" si="2"/>
        <v>729360.88951087883</v>
      </c>
      <c r="C16" s="158">
        <f>B16*kalkulierteBK!$F$10</f>
        <v>2209035.5852359594</v>
      </c>
    </row>
    <row r="17" spans="1:3" x14ac:dyDescent="0.35">
      <c r="A17" s="179">
        <f t="shared" si="1"/>
        <v>2028</v>
      </c>
      <c r="B17" s="187">
        <f t="shared" si="2"/>
        <v>730090.25040038966</v>
      </c>
      <c r="C17" s="158">
        <f>B17*kalkulierteBK!$F$10</f>
        <v>2211244.6208211952</v>
      </c>
    </row>
    <row r="18" spans="1:3" x14ac:dyDescent="0.35">
      <c r="A18" s="179">
        <f t="shared" si="1"/>
        <v>2029</v>
      </c>
      <c r="B18" s="187">
        <f t="shared" si="2"/>
        <v>730820.34065079002</v>
      </c>
      <c r="C18" s="158">
        <f>B18*kalkulierteBK!$F$10</f>
        <v>2213455.8654420166</v>
      </c>
    </row>
    <row r="19" spans="1:3" x14ac:dyDescent="0.35">
      <c r="A19" s="179">
        <f t="shared" si="1"/>
        <v>2030</v>
      </c>
      <c r="B19" s="187">
        <f t="shared" si="2"/>
        <v>731551.16099144076</v>
      </c>
      <c r="C19" s="158">
        <f>B19*kalkulierteBK!$F$10</f>
        <v>2215669.3213074584</v>
      </c>
    </row>
    <row r="20" spans="1:3" x14ac:dyDescent="0.35">
      <c r="A20" s="179">
        <f t="shared" si="1"/>
        <v>2031</v>
      </c>
      <c r="B20" s="187">
        <f t="shared" si="2"/>
        <v>732282.71215243207</v>
      </c>
      <c r="C20" s="158">
        <f>B20*kalkulierteBK!$F$10</f>
        <v>2217884.9906287654</v>
      </c>
    </row>
    <row r="21" spans="1:3" x14ac:dyDescent="0.35">
      <c r="A21" s="179">
        <f t="shared" si="1"/>
        <v>2032</v>
      </c>
      <c r="B21" s="187">
        <f t="shared" si="2"/>
        <v>733014.99486458441</v>
      </c>
      <c r="C21" s="158">
        <f>B21*kalkulierteBK!$F$10</f>
        <v>2220102.8756193938</v>
      </c>
    </row>
    <row r="22" spans="1:3" x14ac:dyDescent="0.35">
      <c r="A22" s="179">
        <f t="shared" si="1"/>
        <v>2033</v>
      </c>
      <c r="B22" s="187">
        <f t="shared" si="2"/>
        <v>733748.00985944888</v>
      </c>
      <c r="C22" s="158">
        <f>B22*kalkulierteBK!$F$10</f>
        <v>2222322.978495013</v>
      </c>
    </row>
    <row r="23" spans="1:3" x14ac:dyDescent="0.35">
      <c r="A23" s="179">
        <f t="shared" si="1"/>
        <v>2034</v>
      </c>
      <c r="B23" s="187">
        <f t="shared" si="2"/>
        <v>734481.75786930823</v>
      </c>
      <c r="C23" s="158">
        <f>B23*kalkulierteBK!$F$10</f>
        <v>2224545.3014735077</v>
      </c>
    </row>
    <row r="24" spans="1:3" x14ac:dyDescent="0.35">
      <c r="A24" s="179">
        <f t="shared" si="1"/>
        <v>2035</v>
      </c>
      <c r="B24" s="187">
        <f t="shared" si="2"/>
        <v>735216.23962717748</v>
      </c>
      <c r="C24" s="158">
        <f>B24*kalkulierteBK!$F$10</f>
        <v>2226769.8467749809</v>
      </c>
    </row>
    <row r="25" spans="1:3" x14ac:dyDescent="0.35">
      <c r="A25" s="179">
        <f t="shared" si="1"/>
        <v>2036</v>
      </c>
      <c r="B25" s="187">
        <f t="shared" si="2"/>
        <v>735951.45586680458</v>
      </c>
      <c r="C25" s="158">
        <f>B25*kalkulierteBK!$F$10</f>
        <v>2228996.6166217555</v>
      </c>
    </row>
    <row r="26" spans="1:3" x14ac:dyDescent="0.35">
      <c r="A26" s="179">
        <f t="shared" si="1"/>
        <v>2037</v>
      </c>
      <c r="B26" s="187">
        <f t="shared" ref="B26:B51" si="3">B25*1.001</f>
        <v>736687.40732267126</v>
      </c>
      <c r="C26" s="158">
        <f>B26*kalkulierteBK!$F$10</f>
        <v>2231225.613238377</v>
      </c>
    </row>
    <row r="27" spans="1:3" x14ac:dyDescent="0.35">
      <c r="A27" s="179">
        <f t="shared" si="1"/>
        <v>2038</v>
      </c>
      <c r="B27" s="187">
        <f t="shared" si="3"/>
        <v>737424.09472999384</v>
      </c>
      <c r="C27" s="158">
        <f>B27*kalkulierteBK!$F$10</f>
        <v>2233456.8388516153</v>
      </c>
    </row>
    <row r="28" spans="1:3" x14ac:dyDescent="0.35">
      <c r="A28" s="179">
        <f t="shared" si="1"/>
        <v>2039</v>
      </c>
      <c r="B28" s="187">
        <f t="shared" si="3"/>
        <v>738161.51882472378</v>
      </c>
      <c r="C28" s="158">
        <f>B28*kalkulierteBK!$F$10</f>
        <v>2235690.2956904666</v>
      </c>
    </row>
    <row r="29" spans="1:3" x14ac:dyDescent="0.35">
      <c r="A29" s="179">
        <f t="shared" si="1"/>
        <v>2040</v>
      </c>
      <c r="B29" s="187">
        <f t="shared" si="3"/>
        <v>738899.68034354842</v>
      </c>
      <c r="C29" s="158">
        <f>B29*kalkulierteBK!$F$10</f>
        <v>2237925.9859861569</v>
      </c>
    </row>
    <row r="30" spans="1:3" x14ac:dyDescent="0.35">
      <c r="A30" s="179">
        <f t="shared" si="1"/>
        <v>2041</v>
      </c>
      <c r="B30" s="187">
        <f t="shared" si="3"/>
        <v>739638.58002389187</v>
      </c>
      <c r="C30" s="158">
        <f>B30*kalkulierteBK!$F$10</f>
        <v>2240163.9119721428</v>
      </c>
    </row>
    <row r="31" spans="1:3" x14ac:dyDescent="0.35">
      <c r="A31" s="179">
        <f t="shared" si="1"/>
        <v>2042</v>
      </c>
      <c r="B31" s="187">
        <f t="shared" si="3"/>
        <v>740378.21860391565</v>
      </c>
      <c r="C31" s="158">
        <f>B31*kalkulierteBK!$F$10</f>
        <v>2242404.0758841145</v>
      </c>
    </row>
    <row r="32" spans="1:3" x14ac:dyDescent="0.35">
      <c r="A32" s="179">
        <f t="shared" si="1"/>
        <v>2043</v>
      </c>
      <c r="B32" s="187">
        <f t="shared" si="3"/>
        <v>741118.59682251944</v>
      </c>
      <c r="C32" s="158">
        <f>B32*kalkulierteBK!$F$10</f>
        <v>2244646.4799599983</v>
      </c>
    </row>
    <row r="33" spans="1:3" x14ac:dyDescent="0.35">
      <c r="A33" s="179">
        <f t="shared" si="1"/>
        <v>2044</v>
      </c>
      <c r="B33" s="187">
        <f t="shared" si="3"/>
        <v>741859.71541934193</v>
      </c>
      <c r="C33" s="158">
        <f>B33*kalkulierteBK!$F$10</f>
        <v>2246891.1264399579</v>
      </c>
    </row>
    <row r="34" spans="1:3" x14ac:dyDescent="0.35">
      <c r="A34" s="179">
        <f t="shared" si="1"/>
        <v>2045</v>
      </c>
      <c r="B34" s="187">
        <f t="shared" si="3"/>
        <v>742601.57513476117</v>
      </c>
      <c r="C34" s="158">
        <f>B34*kalkulierteBK!$F$10</f>
        <v>2249138.0175663978</v>
      </c>
    </row>
    <row r="35" spans="1:3" x14ac:dyDescent="0.35">
      <c r="A35" s="179">
        <f t="shared" si="1"/>
        <v>2046</v>
      </c>
      <c r="B35" s="187">
        <f t="shared" si="3"/>
        <v>743344.17670989584</v>
      </c>
      <c r="C35" s="158">
        <f>B35*kalkulierteBK!$F$10</f>
        <v>2251387.1555839637</v>
      </c>
    </row>
    <row r="36" spans="1:3" x14ac:dyDescent="0.35">
      <c r="A36" s="179">
        <f t="shared" si="1"/>
        <v>2047</v>
      </c>
      <c r="B36" s="187">
        <f t="shared" si="3"/>
        <v>744087.52088660561</v>
      </c>
      <c r="C36" s="158">
        <f>B36*kalkulierteBK!$F$10</f>
        <v>2253638.5427395473</v>
      </c>
    </row>
    <row r="37" spans="1:3" x14ac:dyDescent="0.35">
      <c r="A37" s="179">
        <f t="shared" si="1"/>
        <v>2048</v>
      </c>
      <c r="B37" s="187">
        <f t="shared" si="3"/>
        <v>744831.60840749217</v>
      </c>
      <c r="C37" s="158">
        <f>B37*kalkulierteBK!$F$10</f>
        <v>2255892.181282287</v>
      </c>
    </row>
    <row r="38" spans="1:3" x14ac:dyDescent="0.35">
      <c r="A38" s="179">
        <f t="shared" si="1"/>
        <v>2049</v>
      </c>
      <c r="B38" s="187">
        <f t="shared" si="3"/>
        <v>745576.4400158996</v>
      </c>
      <c r="C38" s="158">
        <f>B38*kalkulierteBK!$F$10</f>
        <v>2258148.0734635689</v>
      </c>
    </row>
    <row r="39" spans="1:3" x14ac:dyDescent="0.35">
      <c r="A39" s="179">
        <f t="shared" si="1"/>
        <v>2050</v>
      </c>
      <c r="B39" s="187">
        <f t="shared" si="3"/>
        <v>746322.01645591541</v>
      </c>
      <c r="C39" s="158">
        <f>B39*kalkulierteBK!$F$10</f>
        <v>2260406.2215370322</v>
      </c>
    </row>
    <row r="40" spans="1:3" x14ac:dyDescent="0.35">
      <c r="A40" s="179">
        <f t="shared" si="1"/>
        <v>2051</v>
      </c>
      <c r="B40" s="187">
        <f t="shared" si="3"/>
        <v>747068.33847237122</v>
      </c>
      <c r="C40" s="158">
        <f>B40*kalkulierteBK!$F$10</f>
        <v>2262666.6277585691</v>
      </c>
    </row>
    <row r="41" spans="1:3" x14ac:dyDescent="0.35">
      <c r="A41" s="179">
        <f t="shared" si="1"/>
        <v>2052</v>
      </c>
      <c r="B41" s="187">
        <f t="shared" si="3"/>
        <v>747815.4068108435</v>
      </c>
      <c r="C41" s="158">
        <f>B41*kalkulierteBK!$F$10</f>
        <v>2264929.2943863273</v>
      </c>
    </row>
    <row r="42" spans="1:3" x14ac:dyDescent="0.35">
      <c r="A42" s="179">
        <f t="shared" si="1"/>
        <v>2053</v>
      </c>
      <c r="B42" s="187">
        <f t="shared" si="3"/>
        <v>748563.22221765423</v>
      </c>
      <c r="C42" s="158">
        <f>B42*kalkulierteBK!$F$10</f>
        <v>2267194.2236807132</v>
      </c>
    </row>
    <row r="43" spans="1:3" x14ac:dyDescent="0.35">
      <c r="A43" s="179">
        <f t="shared" si="1"/>
        <v>2054</v>
      </c>
      <c r="B43" s="187">
        <f t="shared" si="3"/>
        <v>749311.78543987183</v>
      </c>
      <c r="C43" s="158">
        <f>B43*kalkulierteBK!$F$10</f>
        <v>2269461.4179043937</v>
      </c>
    </row>
    <row r="44" spans="1:3" x14ac:dyDescent="0.35">
      <c r="A44" s="179">
        <f t="shared" si="1"/>
        <v>2055</v>
      </c>
      <c r="B44" s="187">
        <f t="shared" si="3"/>
        <v>750061.09722531168</v>
      </c>
      <c r="C44" s="158">
        <f>B44*kalkulierteBK!$F$10</f>
        <v>2271730.8793222983</v>
      </c>
    </row>
    <row r="45" spans="1:3" x14ac:dyDescent="0.35">
      <c r="A45" s="179">
        <f t="shared" si="1"/>
        <v>2056</v>
      </c>
      <c r="B45" s="187">
        <f t="shared" si="3"/>
        <v>750811.15832253685</v>
      </c>
      <c r="C45" s="158">
        <f>B45*kalkulierteBK!$F$10</f>
        <v>2274002.61020162</v>
      </c>
    </row>
    <row r="46" spans="1:3" x14ac:dyDescent="0.35">
      <c r="A46" s="179">
        <f t="shared" si="1"/>
        <v>2057</v>
      </c>
      <c r="B46" s="187">
        <f t="shared" si="3"/>
        <v>751561.96948085935</v>
      </c>
      <c r="C46" s="158">
        <f>B46*kalkulierteBK!$F$10</f>
        <v>2276276.6128118215</v>
      </c>
    </row>
    <row r="47" spans="1:3" x14ac:dyDescent="0.35">
      <c r="A47" s="179">
        <f t="shared" si="1"/>
        <v>2058</v>
      </c>
      <c r="B47" s="187">
        <f t="shared" si="3"/>
        <v>752313.53145034018</v>
      </c>
      <c r="C47" s="158">
        <f>B47*kalkulierteBK!$F$10</f>
        <v>2278552.8894246332</v>
      </c>
    </row>
    <row r="48" spans="1:3" x14ac:dyDescent="0.35">
      <c r="A48" s="179">
        <f t="shared" si="1"/>
        <v>2059</v>
      </c>
      <c r="B48" s="187">
        <f t="shared" si="3"/>
        <v>753065.8449817904</v>
      </c>
      <c r="C48" s="158">
        <f>B48*kalkulierteBK!$F$10</f>
        <v>2280831.4423140576</v>
      </c>
    </row>
    <row r="49" spans="1:3" x14ac:dyDescent="0.35">
      <c r="A49" s="179">
        <f t="shared" si="1"/>
        <v>2060</v>
      </c>
      <c r="B49" s="187">
        <f t="shared" si="3"/>
        <v>753818.9108267721</v>
      </c>
      <c r="C49" s="158">
        <f>B49*kalkulierteBK!$F$10</f>
        <v>2283112.2737563713</v>
      </c>
    </row>
    <row r="50" spans="1:3" x14ac:dyDescent="0.35">
      <c r="A50" s="179">
        <f t="shared" si="1"/>
        <v>2061</v>
      </c>
      <c r="B50" s="187">
        <f t="shared" si="3"/>
        <v>754572.7297375988</v>
      </c>
      <c r="C50" s="158">
        <f>B50*kalkulierteBK!$F$10</f>
        <v>2285395.3860301273</v>
      </c>
    </row>
    <row r="51" spans="1:3" x14ac:dyDescent="0.35">
      <c r="A51" s="179">
        <f t="shared" si="1"/>
        <v>2062</v>
      </c>
      <c r="B51" s="187">
        <f t="shared" si="3"/>
        <v>755327.3024673363</v>
      </c>
      <c r="C51" s="158">
        <f>B51*kalkulierteBK!$F$10</f>
        <v>2287680.7814161573</v>
      </c>
    </row>
    <row r="52" spans="1:3" x14ac:dyDescent="0.35">
      <c r="A52" s="179">
        <f t="shared" si="1"/>
        <v>2063</v>
      </c>
      <c r="B52" s="187">
        <f t="shared" ref="B52:B59" si="4">B51*1.001</f>
        <v>756082.62976980361</v>
      </c>
      <c r="C52" s="158">
        <f>B52*kalkulierteBK!$F$10</f>
        <v>2289968.4621975734</v>
      </c>
    </row>
    <row r="53" spans="1:3" x14ac:dyDescent="0.35">
      <c r="A53" s="179">
        <f t="shared" si="1"/>
        <v>2064</v>
      </c>
      <c r="B53" s="187">
        <f t="shared" si="4"/>
        <v>756838.7123995733</v>
      </c>
      <c r="C53" s="158">
        <f>B53*kalkulierteBK!$F$10</f>
        <v>2292258.4306597705</v>
      </c>
    </row>
    <row r="54" spans="1:3" x14ac:dyDescent="0.35">
      <c r="A54" s="179">
        <f t="shared" si="1"/>
        <v>2065</v>
      </c>
      <c r="B54" s="187">
        <f t="shared" si="4"/>
        <v>757595.55111197277</v>
      </c>
      <c r="C54" s="158">
        <f>B54*kalkulierteBK!$F$10</f>
        <v>2294550.6890904303</v>
      </c>
    </row>
    <row r="55" spans="1:3" x14ac:dyDescent="0.35">
      <c r="A55" s="179">
        <f t="shared" si="1"/>
        <v>2066</v>
      </c>
      <c r="B55" s="187">
        <f t="shared" si="4"/>
        <v>758353.14666308463</v>
      </c>
      <c r="C55" s="158">
        <f>B55*kalkulierteBK!$F$10</f>
        <v>2296845.2397795203</v>
      </c>
    </row>
    <row r="56" spans="1:3" x14ac:dyDescent="0.35">
      <c r="A56" s="179">
        <f t="shared" si="1"/>
        <v>2067</v>
      </c>
      <c r="B56" s="187">
        <f t="shared" si="4"/>
        <v>759111.49980974768</v>
      </c>
      <c r="C56" s="158">
        <f>B56*kalkulierteBK!$F$10</f>
        <v>2299142.0850192998</v>
      </c>
    </row>
    <row r="57" spans="1:3" x14ac:dyDescent="0.35">
      <c r="A57" s="179">
        <f t="shared" si="1"/>
        <v>2068</v>
      </c>
      <c r="B57" s="187">
        <f t="shared" si="4"/>
        <v>759870.61130955734</v>
      </c>
      <c r="C57" s="158">
        <f>B57*kalkulierteBK!$F$10</f>
        <v>2301441.2271043188</v>
      </c>
    </row>
    <row r="58" spans="1:3" x14ac:dyDescent="0.35">
      <c r="A58" s="179">
        <f t="shared" si="1"/>
        <v>2069</v>
      </c>
      <c r="B58" s="187">
        <f t="shared" si="4"/>
        <v>760630.48192086676</v>
      </c>
      <c r="C58" s="158">
        <f>B58*kalkulierteBK!$F$10</f>
        <v>2303742.6683314224</v>
      </c>
    </row>
    <row r="59" spans="1:3" ht="15" thickBot="1" x14ac:dyDescent="0.4">
      <c r="A59" s="181">
        <f t="shared" si="1"/>
        <v>2070</v>
      </c>
      <c r="B59" s="188">
        <f t="shared" si="4"/>
        <v>761391.11240278755</v>
      </c>
      <c r="C59" s="162">
        <f>B59*kalkulierteBK!$F$10</f>
        <v>2306046.4109997535</v>
      </c>
    </row>
  </sheetData>
  <sheetProtection algorithmName="SHA-512" hashValue="c2sI2nUqmW6siGSQQUodhNCwlY9CTr7j3bnIdVYU1iMAwmYQKOug6BJSqE0dtOgfQ4RbiHTxLRkYstDr4RlqDQ==" saltValue="0jlWAMPECMxyJuKo/mz29w==" spinCount="100000" sheet="1" objects="1" scenarios="1"/>
  <pageMargins left="0.7" right="0.7" top="0.78740157499999996" bottom="0.78740157499999996" header="0.3" footer="0.3"/>
  <pageSetup paperSize="9" orientation="portrait" verticalDpi="0" r:id="rId1"/>
  <headerFooter differentFirst="1">
    <oddHeader>&amp;R&amp;G</oddHeader>
    <firstHeader>&amp;R&amp;G</first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N58"/>
  <sheetViews>
    <sheetView view="pageLayout" zoomScaleNormal="70" workbookViewId="0">
      <selection activeCell="G46" sqref="G46"/>
    </sheetView>
  </sheetViews>
  <sheetFormatPr baseColWidth="10" defaultColWidth="11.453125" defaultRowHeight="14.5" x14ac:dyDescent="0.35"/>
  <cols>
    <col min="1" max="1" width="6.81640625" style="35" customWidth="1"/>
    <col min="2" max="2" width="37" style="35" customWidth="1"/>
    <col min="3" max="3" width="20.7265625" style="35" customWidth="1"/>
    <col min="4" max="4" width="18.26953125" style="35" customWidth="1"/>
    <col min="5" max="5" width="24.54296875" style="35" customWidth="1"/>
    <col min="6" max="6" width="28.54296875" style="35" customWidth="1"/>
    <col min="7" max="7" width="22.1796875" style="35" customWidth="1"/>
    <col min="8" max="8" width="22.453125" style="35" customWidth="1"/>
    <col min="9" max="9" width="20.1796875" style="35" customWidth="1"/>
    <col min="10" max="11" width="5.54296875" style="35" customWidth="1"/>
    <col min="12" max="13" width="11.453125" style="35"/>
    <col min="14" max="14" width="18" style="35" customWidth="1"/>
    <col min="15" max="16384" width="11.453125" style="35"/>
  </cols>
  <sheetData>
    <row r="1" spans="1:14" ht="23.25" customHeight="1" x14ac:dyDescent="0.35">
      <c r="B1" s="36" t="s">
        <v>157</v>
      </c>
    </row>
    <row r="2" spans="1:14" ht="21" customHeight="1" x14ac:dyDescent="0.55000000000000004">
      <c r="A2" s="37" t="s">
        <v>133</v>
      </c>
      <c r="B2" s="38"/>
      <c r="C2" s="38"/>
      <c r="D2" s="38"/>
      <c r="E2" s="38"/>
      <c r="F2" s="38"/>
      <c r="G2" s="38"/>
      <c r="H2" s="38"/>
      <c r="I2" s="38"/>
      <c r="J2" s="38"/>
      <c r="K2" s="39"/>
    </row>
    <row r="3" spans="1:14" ht="29.5" thickBot="1" x14ac:dyDescent="0.4">
      <c r="B3" s="114" t="s">
        <v>55</v>
      </c>
      <c r="C3" s="41"/>
      <c r="D3" s="41"/>
      <c r="E3" s="41"/>
      <c r="F3" s="40" t="s">
        <v>62</v>
      </c>
      <c r="G3" s="115" t="s">
        <v>110</v>
      </c>
      <c r="H3" s="115" t="s">
        <v>178</v>
      </c>
      <c r="I3" s="41"/>
      <c r="J3" s="41"/>
      <c r="K3" s="39"/>
    </row>
    <row r="4" spans="1:14" x14ac:dyDescent="0.35">
      <c r="B4" s="42">
        <v>1</v>
      </c>
      <c r="C4" s="43" t="s">
        <v>156</v>
      </c>
      <c r="D4" s="44"/>
      <c r="E4" s="44"/>
      <c r="F4" s="45" t="s">
        <v>148</v>
      </c>
      <c r="G4" s="116">
        <f>'AH1.1'!B3+'AH1.2'!B3</f>
        <v>56392</v>
      </c>
      <c r="H4" s="154">
        <f>'AH1.1'!C3+'AH1.2'!C3</f>
        <v>52139221</v>
      </c>
      <c r="K4" s="39"/>
    </row>
    <row r="5" spans="1:14" x14ac:dyDescent="0.35">
      <c r="B5" s="46">
        <v>2</v>
      </c>
      <c r="C5" s="47" t="s">
        <v>155</v>
      </c>
      <c r="D5" s="48"/>
      <c r="E5" s="48"/>
      <c r="F5" s="49" t="s">
        <v>147</v>
      </c>
      <c r="G5" s="50"/>
      <c r="H5" s="158">
        <f>'AH1.3'!$F$3</f>
        <v>13238174.195689188</v>
      </c>
      <c r="K5" s="39"/>
    </row>
    <row r="6" spans="1:14" x14ac:dyDescent="0.35">
      <c r="B6" s="46">
        <v>3</v>
      </c>
      <c r="C6" s="47" t="s">
        <v>56</v>
      </c>
      <c r="D6" s="48"/>
      <c r="E6" s="48"/>
      <c r="F6" s="49" t="s">
        <v>143</v>
      </c>
      <c r="G6" s="50"/>
      <c r="H6" s="158">
        <f>'AH2.0'!$D$7</f>
        <v>38072265.713</v>
      </c>
      <c r="K6" s="39"/>
    </row>
    <row r="7" spans="1:14" ht="15" thickBot="1" x14ac:dyDescent="0.4">
      <c r="B7" s="51">
        <v>4</v>
      </c>
      <c r="C7" s="52" t="s">
        <v>57</v>
      </c>
      <c r="D7" s="53"/>
      <c r="E7" s="53"/>
      <c r="F7" s="54" t="s">
        <v>144</v>
      </c>
      <c r="G7" s="55"/>
      <c r="H7" s="162">
        <f>'AH3.0'!D3</f>
        <v>180000</v>
      </c>
      <c r="K7" s="39"/>
    </row>
    <row r="8" spans="1:14" ht="16" thickBot="1" x14ac:dyDescent="0.4">
      <c r="B8" s="56"/>
      <c r="C8" s="57" t="s">
        <v>132</v>
      </c>
      <c r="D8" s="58"/>
      <c r="E8" s="58"/>
      <c r="F8" s="58"/>
      <c r="G8" s="58"/>
      <c r="H8" s="274">
        <f>SUM(H4:H7)</f>
        <v>103629660.90868919</v>
      </c>
      <c r="K8" s="39"/>
    </row>
    <row r="9" spans="1:14" ht="6.75" customHeight="1" x14ac:dyDescent="0.35">
      <c r="B9" s="59"/>
      <c r="C9" s="60"/>
      <c r="D9" s="59"/>
      <c r="E9" s="59"/>
      <c r="F9" s="59"/>
      <c r="G9" s="59"/>
      <c r="H9" s="61"/>
      <c r="K9" s="39"/>
    </row>
    <row r="10" spans="1:14" ht="20.25" customHeight="1" x14ac:dyDescent="0.55000000000000004">
      <c r="A10" s="37" t="s">
        <v>154</v>
      </c>
      <c r="B10" s="62"/>
      <c r="C10" s="38"/>
      <c r="D10" s="38"/>
      <c r="E10" s="38"/>
      <c r="F10" s="38"/>
      <c r="G10" s="38"/>
      <c r="H10" s="38"/>
      <c r="I10" s="38"/>
      <c r="J10" s="38"/>
      <c r="K10" s="39"/>
      <c r="N10" s="319"/>
    </row>
    <row r="11" spans="1:14" ht="5.25" customHeight="1" thickBot="1" x14ac:dyDescent="0.6">
      <c r="A11" s="63"/>
      <c r="B11" s="64"/>
      <c r="K11" s="39"/>
    </row>
    <row r="12" spans="1:14" x14ac:dyDescent="0.35">
      <c r="B12" s="106" t="s">
        <v>177</v>
      </c>
      <c r="C12" s="107"/>
      <c r="D12" s="108"/>
      <c r="E12" s="107"/>
      <c r="F12" s="107"/>
      <c r="G12" s="107"/>
      <c r="H12" s="285">
        <v>1579244</v>
      </c>
      <c r="K12" s="39"/>
    </row>
    <row r="13" spans="1:14" x14ac:dyDescent="0.35">
      <c r="B13" s="109" t="s">
        <v>17</v>
      </c>
      <c r="C13" s="110"/>
      <c r="D13" s="110"/>
      <c r="E13" s="110"/>
      <c r="F13" s="110"/>
      <c r="G13" s="110"/>
      <c r="H13" s="286">
        <v>0</v>
      </c>
      <c r="K13" s="39"/>
    </row>
    <row r="14" spans="1:14" ht="15" thickBot="1" x14ac:dyDescent="0.4">
      <c r="B14" s="111" t="s">
        <v>176</v>
      </c>
      <c r="C14" s="112"/>
      <c r="D14" s="113"/>
      <c r="E14" s="112"/>
      <c r="F14" s="112"/>
      <c r="G14" s="112"/>
      <c r="H14" s="287">
        <v>2401528</v>
      </c>
      <c r="K14" s="39"/>
    </row>
    <row r="15" spans="1:14" ht="6" customHeight="1" x14ac:dyDescent="0.35">
      <c r="K15" s="39"/>
    </row>
    <row r="16" spans="1:14" ht="21" customHeight="1" x14ac:dyDescent="0.55000000000000004">
      <c r="A16" s="37" t="s">
        <v>134</v>
      </c>
      <c r="B16" s="65"/>
      <c r="C16" s="65"/>
      <c r="D16" s="65"/>
      <c r="E16" s="65"/>
      <c r="F16" s="65"/>
      <c r="G16" s="65"/>
      <c r="H16" s="65"/>
      <c r="I16" s="65"/>
      <c r="J16" s="65"/>
      <c r="K16" s="39"/>
    </row>
    <row r="17" spans="1:11" ht="4.5" customHeight="1" thickBot="1" x14ac:dyDescent="0.6">
      <c r="A17" s="63"/>
      <c r="B17" s="41"/>
      <c r="C17" s="41"/>
      <c r="D17" s="41"/>
      <c r="E17" s="41"/>
      <c r="F17" s="41"/>
      <c r="G17" s="41"/>
      <c r="K17" s="39"/>
    </row>
    <row r="18" spans="1:11" ht="18.5" x14ac:dyDescent="0.45">
      <c r="C18" s="66" t="s">
        <v>25</v>
      </c>
      <c r="D18" s="67"/>
      <c r="E18" s="27">
        <v>0.03</v>
      </c>
      <c r="F18" s="68"/>
      <c r="G18" s="41"/>
      <c r="H18" s="41"/>
      <c r="K18" s="39"/>
    </row>
    <row r="19" spans="1:11" ht="19" thickBot="1" x14ac:dyDescent="0.5">
      <c r="C19" s="69" t="s">
        <v>71</v>
      </c>
      <c r="D19" s="70"/>
      <c r="E19" s="28">
        <v>2020</v>
      </c>
      <c r="F19" s="41"/>
      <c r="G19" s="41"/>
      <c r="H19" s="41"/>
      <c r="K19" s="39"/>
    </row>
    <row r="20" spans="1:11" ht="8.25" customHeight="1" thickBot="1" x14ac:dyDescent="0.4">
      <c r="C20" s="41"/>
      <c r="D20" s="41"/>
      <c r="E20" s="41"/>
      <c r="F20" s="41"/>
      <c r="G20" s="41"/>
      <c r="H20" s="41"/>
      <c r="I20" s="41"/>
      <c r="J20" s="41"/>
      <c r="K20" s="39"/>
    </row>
    <row r="21" spans="1:11" ht="15" thickBot="1" x14ac:dyDescent="0.4">
      <c r="C21" s="71"/>
      <c r="D21" s="327" t="s">
        <v>135</v>
      </c>
      <c r="E21" s="328"/>
      <c r="F21" s="328"/>
      <c r="G21" s="328"/>
      <c r="H21" s="329"/>
      <c r="I21" s="71"/>
      <c r="J21" s="41"/>
      <c r="K21" s="39"/>
    </row>
    <row r="22" spans="1:11" ht="63" customHeight="1" thickTop="1" x14ac:dyDescent="0.35">
      <c r="C22" s="72" t="s">
        <v>14</v>
      </c>
      <c r="D22" s="73" t="s">
        <v>77</v>
      </c>
      <c r="E22" s="73" t="s">
        <v>78</v>
      </c>
      <c r="F22" s="73" t="s">
        <v>75</v>
      </c>
      <c r="G22" s="73" t="s">
        <v>76</v>
      </c>
      <c r="H22" s="73" t="s">
        <v>74</v>
      </c>
      <c r="I22" s="74" t="s">
        <v>38</v>
      </c>
      <c r="K22" s="39"/>
    </row>
    <row r="23" spans="1:11" s="75" customFormat="1" ht="19.5" customHeight="1" thickBot="1" x14ac:dyDescent="0.4">
      <c r="C23" s="117"/>
      <c r="D23" s="118" t="s">
        <v>33</v>
      </c>
      <c r="E23" s="118" t="s">
        <v>34</v>
      </c>
      <c r="F23" s="118" t="s">
        <v>35</v>
      </c>
      <c r="G23" s="118" t="s">
        <v>36</v>
      </c>
      <c r="H23" s="118" t="s">
        <v>37</v>
      </c>
      <c r="I23" s="119"/>
      <c r="J23" s="35"/>
      <c r="K23" s="76"/>
    </row>
    <row r="24" spans="1:11" ht="19.5" customHeight="1" thickBot="1" x14ac:dyDescent="0.4">
      <c r="C24" s="120">
        <f>E19</f>
        <v>2020</v>
      </c>
      <c r="D24" s="275">
        <f>'AH1.1'!F3</f>
        <v>121975.81995012653</v>
      </c>
      <c r="E24" s="275">
        <f>'AH1.2'!F3</f>
        <v>69647.117045827807</v>
      </c>
      <c r="F24" s="275">
        <f>'AH2.0'!A11</f>
        <v>0</v>
      </c>
      <c r="G24" s="275">
        <f>'AH3.0'!F3</f>
        <v>1071.7791969397133</v>
      </c>
      <c r="H24" s="276">
        <f>G41</f>
        <v>429127.63804362551</v>
      </c>
      <c r="I24" s="277">
        <f>SUM(D24:H24)</f>
        <v>621822.35423651955</v>
      </c>
      <c r="K24" s="39"/>
    </row>
    <row r="25" spans="1:11" ht="9" customHeight="1" thickBot="1" x14ac:dyDescent="0.4">
      <c r="D25" s="41"/>
      <c r="E25" s="41"/>
      <c r="F25" s="41"/>
      <c r="K25" s="39"/>
    </row>
    <row r="26" spans="1:11" s="77" customFormat="1" ht="19.5" customHeight="1" thickBot="1" x14ac:dyDescent="0.4">
      <c r="D26" s="126" t="s">
        <v>15</v>
      </c>
      <c r="E26" s="127"/>
      <c r="F26" s="128"/>
      <c r="I26" s="40" t="s">
        <v>62</v>
      </c>
      <c r="J26" s="35"/>
      <c r="K26" s="78"/>
    </row>
    <row r="27" spans="1:11" ht="19.5" customHeight="1" x14ac:dyDescent="0.35">
      <c r="C27" s="324" t="s">
        <v>40</v>
      </c>
      <c r="D27" s="124" t="s">
        <v>81</v>
      </c>
      <c r="E27" s="79"/>
      <c r="F27" s="278">
        <f>'AH1.1'!H3</f>
        <v>7135015.9997715885</v>
      </c>
      <c r="I27" s="80" t="s">
        <v>141</v>
      </c>
      <c r="K27" s="39"/>
    </row>
    <row r="28" spans="1:11" ht="19.5" customHeight="1" x14ac:dyDescent="0.35">
      <c r="C28" s="325"/>
      <c r="D28" s="124" t="s">
        <v>82</v>
      </c>
      <c r="E28" s="79"/>
      <c r="F28" s="278">
        <f>'AH1.2'!H3</f>
        <v>3790291.4770797766</v>
      </c>
      <c r="I28" s="80" t="s">
        <v>142</v>
      </c>
      <c r="K28" s="39"/>
    </row>
    <row r="29" spans="1:11" ht="19.5" customHeight="1" x14ac:dyDescent="0.35">
      <c r="C29" s="325"/>
      <c r="D29" s="124" t="s">
        <v>83</v>
      </c>
      <c r="E29" s="79"/>
      <c r="F29" s="278">
        <f>'AH2.0'!A11</f>
        <v>0</v>
      </c>
      <c r="I29" s="80" t="s">
        <v>143</v>
      </c>
      <c r="K29" s="39"/>
    </row>
    <row r="30" spans="1:11" ht="19.5" customHeight="1" thickBot="1" x14ac:dyDescent="0.4">
      <c r="C30" s="325"/>
      <c r="D30" s="124" t="s">
        <v>84</v>
      </c>
      <c r="E30" s="79"/>
      <c r="F30" s="278">
        <f>'AH3.0'!H3</f>
        <v>77976.250032250653</v>
      </c>
      <c r="I30" s="80" t="s">
        <v>144</v>
      </c>
      <c r="K30" s="39"/>
    </row>
    <row r="31" spans="1:11" ht="19.5" customHeight="1" thickBot="1" x14ac:dyDescent="0.4">
      <c r="C31" s="326"/>
      <c r="D31" s="124" t="s">
        <v>85</v>
      </c>
      <c r="E31" s="79"/>
      <c r="F31" s="288">
        <v>2500000</v>
      </c>
      <c r="G31" s="81" t="s">
        <v>173</v>
      </c>
      <c r="I31" s="82" t="s">
        <v>54</v>
      </c>
      <c r="K31" s="39"/>
    </row>
    <row r="32" spans="1:11" ht="19.5" customHeight="1" thickBot="1" x14ac:dyDescent="0.4">
      <c r="C32" s="123"/>
      <c r="D32" s="125" t="s">
        <v>16</v>
      </c>
      <c r="E32" s="83"/>
      <c r="F32" s="279">
        <f>SUM(F27:F30)-F31</f>
        <v>8503283.7268836144</v>
      </c>
      <c r="I32" s="80" t="s">
        <v>61</v>
      </c>
      <c r="K32" s="39"/>
    </row>
    <row r="33" spans="1:11" ht="19.5" customHeight="1" x14ac:dyDescent="0.35">
      <c r="C33" s="324" t="s">
        <v>39</v>
      </c>
      <c r="D33" s="124" t="s">
        <v>86</v>
      </c>
      <c r="E33" s="79"/>
      <c r="F33" s="278">
        <f>H12</f>
        <v>1579244</v>
      </c>
      <c r="I33" s="82" t="s">
        <v>53</v>
      </c>
      <c r="K33" s="39"/>
    </row>
    <row r="34" spans="1:11" ht="19.5" customHeight="1" x14ac:dyDescent="0.35">
      <c r="C34" s="325"/>
      <c r="D34" s="124" t="s">
        <v>87</v>
      </c>
      <c r="E34" s="79"/>
      <c r="F34" s="278">
        <f>H13</f>
        <v>0</v>
      </c>
      <c r="I34" s="82" t="s">
        <v>53</v>
      </c>
      <c r="K34" s="39"/>
    </row>
    <row r="35" spans="1:11" ht="19.5" customHeight="1" thickBot="1" x14ac:dyDescent="0.4">
      <c r="C35" s="326"/>
      <c r="D35" s="124" t="s">
        <v>88</v>
      </c>
      <c r="E35" s="79"/>
      <c r="F35" s="278">
        <f>H14</f>
        <v>2401528</v>
      </c>
      <c r="G35" s="81" t="s">
        <v>180</v>
      </c>
      <c r="H35" s="81"/>
      <c r="I35" s="82" t="s">
        <v>53</v>
      </c>
      <c r="K35" s="39"/>
    </row>
    <row r="36" spans="1:11" ht="19.5" customHeight="1" thickBot="1" x14ac:dyDescent="0.4">
      <c r="C36" s="123"/>
      <c r="D36" s="121" t="s">
        <v>32</v>
      </c>
      <c r="E36" s="84"/>
      <c r="F36" s="279">
        <f>F33-F34-F35</f>
        <v>-822284</v>
      </c>
      <c r="G36" s="129">
        <f>(F35-F33)/H8</f>
        <v>7.9348324870476619E-3</v>
      </c>
      <c r="H36" s="85"/>
      <c r="I36" s="80" t="s">
        <v>61</v>
      </c>
      <c r="K36" s="39"/>
    </row>
    <row r="37" spans="1:11" ht="19.5" customHeight="1" x14ac:dyDescent="0.35">
      <c r="C37" s="324" t="s">
        <v>41</v>
      </c>
      <c r="D37" s="124" t="s">
        <v>79</v>
      </c>
      <c r="E37" s="79"/>
      <c r="F37" s="278">
        <f>'AH1.3'!F3</f>
        <v>13238174.195689188</v>
      </c>
      <c r="G37" s="41"/>
      <c r="H37" s="41"/>
      <c r="I37" s="80" t="s">
        <v>147</v>
      </c>
      <c r="K37" s="39"/>
    </row>
    <row r="38" spans="1:11" ht="19.5" customHeight="1" thickBot="1" x14ac:dyDescent="0.4">
      <c r="C38" s="326"/>
      <c r="D38" s="124" t="s">
        <v>80</v>
      </c>
      <c r="E38" s="79"/>
      <c r="F38" s="278">
        <f>AG!E4</f>
        <v>7053252.6544519505</v>
      </c>
      <c r="G38" s="86" t="s">
        <v>22</v>
      </c>
      <c r="H38" s="86"/>
      <c r="I38" s="80" t="s">
        <v>63</v>
      </c>
      <c r="K38" s="39"/>
    </row>
    <row r="39" spans="1:11" ht="19.5" customHeight="1" thickBot="1" x14ac:dyDescent="0.4">
      <c r="C39" s="41"/>
      <c r="D39" s="121" t="s">
        <v>179</v>
      </c>
      <c r="E39" s="83"/>
      <c r="F39" s="280">
        <f>F32+F36+F37-F38</f>
        <v>13865921.268120851</v>
      </c>
      <c r="G39" s="281">
        <f>F39*E18</f>
        <v>415977.63804362551</v>
      </c>
      <c r="H39" s="87"/>
      <c r="I39" s="80" t="s">
        <v>61</v>
      </c>
      <c r="K39" s="39"/>
    </row>
    <row r="40" spans="1:11" ht="19.5" customHeight="1" thickBot="1" x14ac:dyDescent="0.4">
      <c r="C40" s="41"/>
      <c r="D40" s="130" t="s">
        <v>21</v>
      </c>
      <c r="E40" s="131"/>
      <c r="F40" s="132"/>
      <c r="G40" s="282">
        <f>F56*G56</f>
        <v>13150</v>
      </c>
      <c r="H40" s="88"/>
      <c r="I40" s="80" t="s">
        <v>172</v>
      </c>
      <c r="K40" s="39"/>
    </row>
    <row r="41" spans="1:11" ht="19.5" customHeight="1" thickBot="1" x14ac:dyDescent="0.4">
      <c r="G41" s="283">
        <f>G39+G40</f>
        <v>429127.63804362551</v>
      </c>
      <c r="H41" s="85"/>
      <c r="I41" s="80" t="s">
        <v>61</v>
      </c>
      <c r="J41" s="89"/>
      <c r="K41" s="39"/>
    </row>
    <row r="42" spans="1:11" ht="8.25" customHeight="1" x14ac:dyDescent="0.35">
      <c r="F42" s="61"/>
      <c r="G42" s="85"/>
      <c r="H42" s="85"/>
      <c r="I42" s="90"/>
      <c r="J42" s="90"/>
      <c r="K42" s="91"/>
    </row>
    <row r="43" spans="1:11" ht="21" customHeight="1" x14ac:dyDescent="0.35">
      <c r="A43" s="39"/>
      <c r="B43" s="39"/>
      <c r="C43" s="39"/>
      <c r="D43" s="92"/>
      <c r="E43" s="92"/>
      <c r="F43" s="93"/>
      <c r="G43" s="94"/>
      <c r="H43" s="94"/>
      <c r="I43" s="95"/>
      <c r="J43" s="95"/>
      <c r="K43" s="91"/>
    </row>
    <row r="44" spans="1:11" ht="12" customHeight="1" x14ac:dyDescent="0.35">
      <c r="C44" s="96"/>
      <c r="D44" s="96"/>
    </row>
    <row r="45" spans="1:11" x14ac:dyDescent="0.35">
      <c r="C45" s="97" t="s">
        <v>170</v>
      </c>
      <c r="D45" s="97"/>
      <c r="E45" s="97"/>
      <c r="F45" s="97"/>
      <c r="G45" s="97"/>
    </row>
    <row r="46" spans="1:11" ht="15" thickBot="1" x14ac:dyDescent="0.4">
      <c r="C46" s="98" t="s">
        <v>166</v>
      </c>
      <c r="D46" s="99"/>
      <c r="E46" s="100"/>
      <c r="F46" s="284">
        <f>0</f>
        <v>0</v>
      </c>
      <c r="G46" s="97"/>
    </row>
    <row r="47" spans="1:11" ht="15" thickBot="1" x14ac:dyDescent="0.4">
      <c r="C47" s="98" t="s">
        <v>171</v>
      </c>
      <c r="D47" s="99"/>
      <c r="E47" s="99"/>
      <c r="F47" s="288">
        <v>2500000</v>
      </c>
      <c r="G47" s="81" t="s">
        <v>173</v>
      </c>
    </row>
    <row r="48" spans="1:11" x14ac:dyDescent="0.35">
      <c r="C48" s="101" t="s">
        <v>167</v>
      </c>
      <c r="D48" s="99"/>
      <c r="E48" s="100"/>
      <c r="F48" s="122">
        <f>F46/F47</f>
        <v>0</v>
      </c>
      <c r="G48" s="81"/>
    </row>
    <row r="49" spans="3:7" x14ac:dyDescent="0.35">
      <c r="C49" s="98" t="s">
        <v>175</v>
      </c>
      <c r="D49" s="99"/>
      <c r="E49" s="99"/>
      <c r="F49" s="284">
        <f>F47*E18-F46</f>
        <v>75000</v>
      </c>
      <c r="G49" s="81"/>
    </row>
    <row r="50" spans="3:7" ht="15" thickBot="1" x14ac:dyDescent="0.4">
      <c r="C50" s="103"/>
      <c r="D50" s="103"/>
      <c r="E50" s="103"/>
      <c r="F50" s="103"/>
      <c r="G50" s="81"/>
    </row>
    <row r="51" spans="3:7" x14ac:dyDescent="0.35">
      <c r="C51" s="98" t="s">
        <v>168</v>
      </c>
      <c r="D51" s="99"/>
      <c r="E51" s="99"/>
      <c r="F51" s="289">
        <v>2300</v>
      </c>
      <c r="G51" s="81" t="s">
        <v>173</v>
      </c>
    </row>
    <row r="52" spans="3:7" ht="15" thickBot="1" x14ac:dyDescent="0.4">
      <c r="C52" s="98" t="s">
        <v>169</v>
      </c>
      <c r="D52" s="99"/>
      <c r="E52" s="99"/>
      <c r="F52" s="290">
        <v>1700000</v>
      </c>
      <c r="G52" s="81" t="s">
        <v>173</v>
      </c>
    </row>
    <row r="53" spans="3:7" x14ac:dyDescent="0.35">
      <c r="C53" s="101" t="s">
        <v>167</v>
      </c>
      <c r="D53" s="99"/>
      <c r="E53" s="100"/>
      <c r="F53" s="102">
        <f>F51/F52</f>
        <v>1.3529411764705882E-3</v>
      </c>
      <c r="G53" s="97"/>
    </row>
    <row r="54" spans="3:7" x14ac:dyDescent="0.35">
      <c r="C54" s="98" t="s">
        <v>175</v>
      </c>
      <c r="D54" s="99"/>
      <c r="E54" s="100"/>
      <c r="F54" s="284">
        <f>F52*E18-F51</f>
        <v>48700</v>
      </c>
      <c r="G54" s="97"/>
    </row>
    <row r="55" spans="3:7" ht="15" thickBot="1" x14ac:dyDescent="0.4">
      <c r="C55" s="97"/>
      <c r="D55" s="97"/>
      <c r="E55" s="97"/>
      <c r="F55" s="97"/>
      <c r="G55" s="97"/>
    </row>
    <row r="56" spans="3:7" ht="15.5" thickTop="1" thickBot="1" x14ac:dyDescent="0.4">
      <c r="C56" s="321" t="s">
        <v>21</v>
      </c>
      <c r="D56" s="322"/>
      <c r="E56" s="323"/>
      <c r="F56" s="104">
        <f>(F49-F54)</f>
        <v>26300</v>
      </c>
      <c r="G56" s="105">
        <v>0.5</v>
      </c>
    </row>
    <row r="57" spans="3:7" ht="15" thickTop="1" x14ac:dyDescent="0.35">
      <c r="C57" s="97"/>
      <c r="D57" s="97"/>
      <c r="E57" s="97"/>
      <c r="F57" s="97"/>
      <c r="G57" s="97"/>
    </row>
    <row r="58" spans="3:7" x14ac:dyDescent="0.35">
      <c r="C58" s="97"/>
      <c r="D58" s="97"/>
      <c r="E58" s="97"/>
      <c r="F58" s="97"/>
      <c r="G58" s="97"/>
    </row>
  </sheetData>
  <sheetProtection algorithmName="SHA-512" hashValue="S8k6eU0BvVwRWtSBjj+zbOcqRW/mu4a9vBGsvv3558oL41kZCeJwyLoJyksmfGcAs6DZQuslUI0izvTzY/fqlQ==" saltValue="vP2+WQcEtehVpINUjuy1Sw==" spinCount="100000" sheet="1" objects="1" scenarios="1"/>
  <mergeCells count="5">
    <mergeCell ref="C56:E56"/>
    <mergeCell ref="C27:C31"/>
    <mergeCell ref="C33:C35"/>
    <mergeCell ref="C37:C38"/>
    <mergeCell ref="D21:H21"/>
  </mergeCells>
  <pageMargins left="0.7" right="0.7" top="0.78740157499999996" bottom="0.78740157499999996" header="0.3" footer="0.3"/>
  <pageSetup paperSize="9" scale="61" fitToHeight="0" orientation="landscape" r:id="rId1"/>
  <headerFooter differentFirst="1">
    <oddHeader>&amp;R&amp;G</oddHeader>
    <firstHeader>&amp;R&amp;G</first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F61"/>
  <sheetViews>
    <sheetView view="pageLayout" zoomScaleNormal="100" workbookViewId="0"/>
  </sheetViews>
  <sheetFormatPr baseColWidth="10" defaultColWidth="11.453125" defaultRowHeight="14.5" x14ac:dyDescent="0.35"/>
  <cols>
    <col min="1" max="1" width="13.54296875" style="137" customWidth="1"/>
    <col min="2" max="2" width="19.54296875" style="137" customWidth="1"/>
    <col min="3" max="3" width="21.54296875" style="137" customWidth="1"/>
    <col min="4" max="4" width="17.7265625" style="137" customWidth="1"/>
    <col min="5" max="5" width="18.54296875" style="137" customWidth="1"/>
    <col min="6" max="6" width="20.7265625" style="137" customWidth="1"/>
    <col min="7" max="16384" width="11.453125" style="137"/>
  </cols>
  <sheetData>
    <row r="1" spans="1:6" ht="21" x14ac:dyDescent="0.5">
      <c r="A1" s="64" t="s">
        <v>24</v>
      </c>
    </row>
    <row r="2" spans="1:6" ht="21.75" customHeight="1" thickBot="1" x14ac:dyDescent="0.4">
      <c r="A2" s="139" t="s">
        <v>72</v>
      </c>
    </row>
    <row r="3" spans="1:6" x14ac:dyDescent="0.35">
      <c r="A3" s="221" t="s">
        <v>162</v>
      </c>
      <c r="B3" s="222">
        <v>1.4999999999999999E-2</v>
      </c>
      <c r="C3" s="223"/>
      <c r="D3" s="224"/>
      <c r="E3" s="224"/>
      <c r="F3" s="225"/>
    </row>
    <row r="4" spans="1:6" s="230" customFormat="1" ht="46" thickBot="1" x14ac:dyDescent="0.4">
      <c r="A4" s="226" t="s">
        <v>14</v>
      </c>
      <c r="B4" s="227" t="s">
        <v>23</v>
      </c>
      <c r="C4" s="227" t="s">
        <v>164</v>
      </c>
      <c r="D4" s="227" t="s">
        <v>165</v>
      </c>
      <c r="E4" s="228" t="s">
        <v>174</v>
      </c>
      <c r="F4" s="229" t="s">
        <v>149</v>
      </c>
    </row>
    <row r="5" spans="1:6" x14ac:dyDescent="0.35">
      <c r="A5" s="231">
        <f>A6-1</f>
        <v>2015</v>
      </c>
      <c r="B5" s="232">
        <f>laufendeBK!H6</f>
        <v>997850</v>
      </c>
      <c r="C5" s="232">
        <f>D5-B5</f>
        <v>417101</v>
      </c>
      <c r="D5" s="232">
        <v>1414951</v>
      </c>
      <c r="E5" s="233">
        <f>Verbrauch!B4</f>
        <v>674878</v>
      </c>
      <c r="F5" s="234">
        <f>D5/E5</f>
        <v>2.0966026452188395</v>
      </c>
    </row>
    <row r="6" spans="1:6" x14ac:dyDescent="0.35">
      <c r="A6" s="235">
        <f>A7-1</f>
        <v>2016</v>
      </c>
      <c r="B6" s="236">
        <f>laufendeBK!H7</f>
        <v>1221820</v>
      </c>
      <c r="C6" s="236">
        <f t="shared" ref="C6:C9" si="0">D6-B6</f>
        <v>364613</v>
      </c>
      <c r="D6" s="236">
        <v>1586433</v>
      </c>
      <c r="E6" s="237">
        <f>Verbrauch!B5</f>
        <v>765429</v>
      </c>
      <c r="F6" s="238">
        <f>D6/E6</f>
        <v>2.0726063423256762</v>
      </c>
    </row>
    <row r="7" spans="1:6" x14ac:dyDescent="0.35">
      <c r="A7" s="235">
        <f>A8-1</f>
        <v>2017</v>
      </c>
      <c r="B7" s="236">
        <f>laufendeBK!H8</f>
        <v>1235066</v>
      </c>
      <c r="C7" s="236">
        <f t="shared" si="0"/>
        <v>357469</v>
      </c>
      <c r="D7" s="236">
        <v>1592535</v>
      </c>
      <c r="E7" s="237">
        <f>Verbrauch!B6</f>
        <v>751774</v>
      </c>
      <c r="F7" s="238">
        <f t="shared" ref="F7:F9" si="1">D7/E7</f>
        <v>2.1183693503632739</v>
      </c>
    </row>
    <row r="8" spans="1:6" x14ac:dyDescent="0.35">
      <c r="A8" s="235">
        <f>A9-1</f>
        <v>2018</v>
      </c>
      <c r="B8" s="236">
        <f>laufendeBK!H9</f>
        <v>1267059</v>
      </c>
      <c r="C8" s="236">
        <f t="shared" si="0"/>
        <v>255455</v>
      </c>
      <c r="D8" s="236">
        <v>1522514</v>
      </c>
      <c r="E8" s="237">
        <f>Verbrauch!B7</f>
        <v>698592</v>
      </c>
      <c r="F8" s="238">
        <f t="shared" si="1"/>
        <v>2.179403714900829</v>
      </c>
    </row>
    <row r="9" spans="1:6" ht="15" thickBot="1" x14ac:dyDescent="0.4">
      <c r="A9" s="239">
        <f>Kostenkalkulation!E19-1</f>
        <v>2019</v>
      </c>
      <c r="B9" s="240">
        <f>laufendeBK!H10</f>
        <v>1666039</v>
      </c>
      <c r="C9" s="240">
        <f t="shared" si="0"/>
        <v>-77046</v>
      </c>
      <c r="D9" s="240">
        <v>1588993</v>
      </c>
      <c r="E9" s="241">
        <f>Verbrauch!B8</f>
        <v>721060</v>
      </c>
      <c r="F9" s="242">
        <f t="shared" si="1"/>
        <v>2.2036904002440849</v>
      </c>
    </row>
    <row r="10" spans="1:6" ht="33.75" customHeight="1" thickBot="1" x14ac:dyDescent="0.4">
      <c r="A10" s="243" t="s">
        <v>163</v>
      </c>
      <c r="B10" s="244">
        <f>laufendeBK!H12</f>
        <v>1766700</v>
      </c>
      <c r="C10" s="244">
        <f>Kostenkalkulation!H24</f>
        <v>429127.63804362551</v>
      </c>
      <c r="D10" s="244">
        <f>B10+C10</f>
        <v>2195827.6380436253</v>
      </c>
      <c r="E10" s="245">
        <f>Verbrauch!B10</f>
        <v>725000</v>
      </c>
      <c r="F10" s="246">
        <f>D10/E10</f>
        <v>3.028727776611897</v>
      </c>
    </row>
    <row r="11" spans="1:6" ht="30.75" customHeight="1" thickBot="1" x14ac:dyDescent="0.4">
      <c r="A11" s="330" t="s">
        <v>201</v>
      </c>
      <c r="B11" s="331"/>
      <c r="C11" s="331"/>
      <c r="D11" s="331"/>
      <c r="E11" s="331"/>
      <c r="F11" s="332"/>
    </row>
    <row r="12" spans="1:6" x14ac:dyDescent="0.35">
      <c r="A12" s="247">
        <f>Kostenkalkulation!E19+1</f>
        <v>2021</v>
      </c>
      <c r="B12" s="232">
        <f>laufendeBK!H14</f>
        <v>1766700</v>
      </c>
      <c r="C12" s="232">
        <f>D12-B12</f>
        <v>429127.63804362528</v>
      </c>
      <c r="D12" s="232">
        <f>E12*F12</f>
        <v>2195827.6380436253</v>
      </c>
      <c r="E12" s="233">
        <f>E10</f>
        <v>725000</v>
      </c>
      <c r="F12" s="248">
        <f>F10</f>
        <v>3.028727776611897</v>
      </c>
    </row>
    <row r="13" spans="1:6" x14ac:dyDescent="0.35">
      <c r="A13" s="249">
        <f>A12+1</f>
        <v>2022</v>
      </c>
      <c r="B13" s="236">
        <f>laufendeBK!H15</f>
        <v>1793200.4999999998</v>
      </c>
      <c r="C13" s="236">
        <f t="shared" ref="C13:C61" si="2">D13-B13</f>
        <v>404822.9656816686</v>
      </c>
      <c r="D13" s="236">
        <f t="shared" ref="D13:D61" si="3">E13*F13</f>
        <v>2198023.4656816684</v>
      </c>
      <c r="E13" s="237">
        <f>Verbrauch!B11</f>
        <v>725724.99999999988</v>
      </c>
      <c r="F13" s="250">
        <f>F12</f>
        <v>3.028727776611897</v>
      </c>
    </row>
    <row r="14" spans="1:6" x14ac:dyDescent="0.35">
      <c r="A14" s="249">
        <f t="shared" ref="A14:A61" si="4">A13+1</f>
        <v>2023</v>
      </c>
      <c r="B14" s="236">
        <f>laufendeBK!H16</f>
        <v>1820098.5074999994</v>
      </c>
      <c r="C14" s="236">
        <f t="shared" si="2"/>
        <v>380122.98164735083</v>
      </c>
      <c r="D14" s="236">
        <f t="shared" si="3"/>
        <v>2200221.4891473502</v>
      </c>
      <c r="E14" s="237">
        <f>Verbrauch!B12</f>
        <v>726450.72499999986</v>
      </c>
      <c r="F14" s="250">
        <f>F13</f>
        <v>3.028727776611897</v>
      </c>
    </row>
    <row r="15" spans="1:6" x14ac:dyDescent="0.35">
      <c r="A15" s="249">
        <f t="shared" si="4"/>
        <v>2024</v>
      </c>
      <c r="B15" s="236">
        <f>laufendeBK!H17</f>
        <v>1847399.9851124992</v>
      </c>
      <c r="C15" s="236">
        <f t="shared" si="2"/>
        <v>355021.7255239978</v>
      </c>
      <c r="D15" s="236">
        <f t="shared" si="3"/>
        <v>2202421.710636497</v>
      </c>
      <c r="E15" s="237">
        <f>Verbrauch!B13</f>
        <v>727177.17572499975</v>
      </c>
      <c r="F15" s="250">
        <f>F14</f>
        <v>3.028727776611897</v>
      </c>
    </row>
    <row r="16" spans="1:6" x14ac:dyDescent="0.35">
      <c r="A16" s="249">
        <f t="shared" si="4"/>
        <v>2025</v>
      </c>
      <c r="B16" s="236">
        <f>laufendeBK!H18</f>
        <v>1875110.9848891865</v>
      </c>
      <c r="C16" s="236">
        <f t="shared" si="2"/>
        <v>329513.14745794702</v>
      </c>
      <c r="D16" s="236">
        <f t="shared" si="3"/>
        <v>2204624.1323471335</v>
      </c>
      <c r="E16" s="237">
        <f>Verbrauch!B14</f>
        <v>727904.35290072463</v>
      </c>
      <c r="F16" s="250">
        <f>F15</f>
        <v>3.028727776611897</v>
      </c>
    </row>
    <row r="17" spans="1:6" x14ac:dyDescent="0.35">
      <c r="A17" s="249">
        <f t="shared" si="4"/>
        <v>2026</v>
      </c>
      <c r="B17" s="236">
        <f>laufendeBK!H19</f>
        <v>1903237.649662524</v>
      </c>
      <c r="C17" s="236">
        <f t="shared" si="2"/>
        <v>474143.66900486499</v>
      </c>
      <c r="D17" s="236">
        <f t="shared" si="3"/>
        <v>2377381.318667389</v>
      </c>
      <c r="E17" s="237">
        <f>Verbrauch!B15</f>
        <v>728632.25725362531</v>
      </c>
      <c r="F17" s="251">
        <f>(1+$B$3)^5*F16</f>
        <v>3.2627999858642829</v>
      </c>
    </row>
    <row r="18" spans="1:6" x14ac:dyDescent="0.35">
      <c r="A18" s="249">
        <f t="shared" si="4"/>
        <v>2027</v>
      </c>
      <c r="B18" s="236">
        <f>laufendeBK!H20</f>
        <v>1931786.2144074617</v>
      </c>
      <c r="C18" s="236">
        <f t="shared" si="2"/>
        <v>447972.48557859473</v>
      </c>
      <c r="D18" s="236">
        <f t="shared" si="3"/>
        <v>2379758.6999860564</v>
      </c>
      <c r="E18" s="237">
        <f>Verbrauch!B16</f>
        <v>729360.88951087883</v>
      </c>
      <c r="F18" s="250">
        <f>F17</f>
        <v>3.2627999858642829</v>
      </c>
    </row>
    <row r="19" spans="1:6" x14ac:dyDescent="0.35">
      <c r="A19" s="249">
        <f t="shared" si="4"/>
        <v>2028</v>
      </c>
      <c r="B19" s="236">
        <f>laufendeBK!H21</f>
        <v>1960763.0076235733</v>
      </c>
      <c r="C19" s="236">
        <f t="shared" si="2"/>
        <v>421375.45106246881</v>
      </c>
      <c r="D19" s="236">
        <f t="shared" si="3"/>
        <v>2382138.4586860421</v>
      </c>
      <c r="E19" s="237">
        <f>Verbrauch!B17</f>
        <v>730090.25040038966</v>
      </c>
      <c r="F19" s="250">
        <f>F18</f>
        <v>3.2627999858642829</v>
      </c>
    </row>
    <row r="20" spans="1:6" x14ac:dyDescent="0.35">
      <c r="A20" s="249">
        <f t="shared" si="4"/>
        <v>2029</v>
      </c>
      <c r="B20" s="236">
        <f>laufendeBK!H22</f>
        <v>1990174.4527379267</v>
      </c>
      <c r="C20" s="236">
        <f t="shared" si="2"/>
        <v>394346.14440680132</v>
      </c>
      <c r="D20" s="236">
        <f t="shared" si="3"/>
        <v>2384520.5971447281</v>
      </c>
      <c r="E20" s="237">
        <f>Verbrauch!B18</f>
        <v>730820.34065079002</v>
      </c>
      <c r="F20" s="250">
        <f>F19</f>
        <v>3.2627999858642829</v>
      </c>
    </row>
    <row r="21" spans="1:6" x14ac:dyDescent="0.35">
      <c r="A21" s="249">
        <f t="shared" si="4"/>
        <v>2030</v>
      </c>
      <c r="B21" s="236">
        <f>laufendeBK!H23</f>
        <v>2020027.0695289958</v>
      </c>
      <c r="C21" s="236">
        <f t="shared" si="2"/>
        <v>366878.04821287678</v>
      </c>
      <c r="D21" s="236">
        <f t="shared" si="3"/>
        <v>2386905.1177418726</v>
      </c>
      <c r="E21" s="237">
        <f>Verbrauch!B19</f>
        <v>731551.16099144076</v>
      </c>
      <c r="F21" s="250">
        <f>F20</f>
        <v>3.2627999858642829</v>
      </c>
    </row>
    <row r="22" spans="1:6" x14ac:dyDescent="0.35">
      <c r="A22" s="249">
        <f t="shared" si="4"/>
        <v>2031</v>
      </c>
      <c r="B22" s="236">
        <f>laufendeBK!H24</f>
        <v>2050327.4755719304</v>
      </c>
      <c r="C22" s="236">
        <f t="shared" si="2"/>
        <v>523618.60126327071</v>
      </c>
      <c r="D22" s="236">
        <f t="shared" si="3"/>
        <v>2573946.0768352011</v>
      </c>
      <c r="E22" s="237">
        <f>Verbrauch!B20</f>
        <v>732282.71215243207</v>
      </c>
      <c r="F22" s="251">
        <f>(1+$B$3)^5*F21</f>
        <v>3.5149622326457544</v>
      </c>
    </row>
    <row r="23" spans="1:6" x14ac:dyDescent="0.35">
      <c r="A23" s="249">
        <f t="shared" si="4"/>
        <v>2032</v>
      </c>
      <c r="B23" s="236">
        <f>laufendeBK!H25</f>
        <v>2081082.3877055091</v>
      </c>
      <c r="C23" s="236">
        <f t="shared" si="2"/>
        <v>495437.63520652661</v>
      </c>
      <c r="D23" s="236">
        <f t="shared" si="3"/>
        <v>2576520.0229120357</v>
      </c>
      <c r="E23" s="237">
        <f>Verbrauch!B21</f>
        <v>733014.99486458441</v>
      </c>
      <c r="F23" s="250">
        <f>F22</f>
        <v>3.5149622326457544</v>
      </c>
    </row>
    <row r="24" spans="1:6" x14ac:dyDescent="0.35">
      <c r="A24" s="249">
        <f t="shared" si="4"/>
        <v>2033</v>
      </c>
      <c r="B24" s="236">
        <f>laufendeBK!H26</f>
        <v>2112298.6235210914</v>
      </c>
      <c r="C24" s="236">
        <f t="shared" si="2"/>
        <v>466797.91941385623</v>
      </c>
      <c r="D24" s="236">
        <f t="shared" si="3"/>
        <v>2579096.5429349476</v>
      </c>
      <c r="E24" s="237">
        <f>Verbrauch!B22</f>
        <v>733748.00985944888</v>
      </c>
      <c r="F24" s="250">
        <f>F23</f>
        <v>3.5149622326457544</v>
      </c>
    </row>
    <row r="25" spans="1:6" x14ac:dyDescent="0.35">
      <c r="A25" s="249">
        <f t="shared" si="4"/>
        <v>2034</v>
      </c>
      <c r="B25" s="236">
        <f>laufendeBK!H27</f>
        <v>2143983.1028739074</v>
      </c>
      <c r="C25" s="236">
        <f t="shared" si="2"/>
        <v>437692.53660397464</v>
      </c>
      <c r="D25" s="236">
        <f t="shared" si="3"/>
        <v>2581675.6394778821</v>
      </c>
      <c r="E25" s="237">
        <f>Verbrauch!B23</f>
        <v>734481.75786930823</v>
      </c>
      <c r="F25" s="250">
        <f>F24</f>
        <v>3.5149622326457544</v>
      </c>
    </row>
    <row r="26" spans="1:6" x14ac:dyDescent="0.35">
      <c r="A26" s="249">
        <f t="shared" si="4"/>
        <v>2035</v>
      </c>
      <c r="B26" s="236">
        <f>laufendeBK!H28</f>
        <v>2176142.8494170159</v>
      </c>
      <c r="C26" s="236">
        <f t="shared" si="2"/>
        <v>408114.46570034372</v>
      </c>
      <c r="D26" s="236">
        <f t="shared" si="3"/>
        <v>2584257.3151173596</v>
      </c>
      <c r="E26" s="237">
        <f>Verbrauch!B24</f>
        <v>735216.23962717748</v>
      </c>
      <c r="F26" s="250">
        <f>F25</f>
        <v>3.5149622326457544</v>
      </c>
    </row>
    <row r="27" spans="1:6" x14ac:dyDescent="0.35">
      <c r="A27" s="249">
        <f t="shared" si="4"/>
        <v>2036</v>
      </c>
      <c r="B27" s="236">
        <f>laufendeBK!H29</f>
        <v>2208784.9921582709</v>
      </c>
      <c r="C27" s="236">
        <f t="shared" si="2"/>
        <v>577978.05440633837</v>
      </c>
      <c r="D27" s="236">
        <f t="shared" si="3"/>
        <v>2786763.0465646093</v>
      </c>
      <c r="E27" s="237">
        <f>Verbrauch!B25</f>
        <v>735951.45586680458</v>
      </c>
      <c r="F27" s="251">
        <f>(1+$B$3)^5*F26</f>
        <v>3.7866125874869776</v>
      </c>
    </row>
    <row r="28" spans="1:6" x14ac:dyDescent="0.35">
      <c r="A28" s="249">
        <f t="shared" si="4"/>
        <v>2037</v>
      </c>
      <c r="B28" s="236">
        <f>laufendeBK!H30</f>
        <v>2241916.7670406448</v>
      </c>
      <c r="C28" s="236">
        <f t="shared" si="2"/>
        <v>547633.04257052857</v>
      </c>
      <c r="D28" s="236">
        <f t="shared" si="3"/>
        <v>2789549.8096111733</v>
      </c>
      <c r="E28" s="237">
        <f>Verbrauch!B26</f>
        <v>736687.40732267126</v>
      </c>
      <c r="F28" s="250">
        <f>F27</f>
        <v>3.7866125874869776</v>
      </c>
    </row>
    <row r="29" spans="1:6" x14ac:dyDescent="0.35">
      <c r="A29" s="249">
        <f t="shared" si="4"/>
        <v>2038</v>
      </c>
      <c r="B29" s="236">
        <f>laufendeBK!H31</f>
        <v>2275545.5185462539</v>
      </c>
      <c r="C29" s="236">
        <f t="shared" si="2"/>
        <v>516793.84087453038</v>
      </c>
      <c r="D29" s="236">
        <f t="shared" si="3"/>
        <v>2792339.3594207843</v>
      </c>
      <c r="E29" s="237">
        <f>Verbrauch!B27</f>
        <v>737424.09472999384</v>
      </c>
      <c r="F29" s="250">
        <f>F28</f>
        <v>3.7866125874869776</v>
      </c>
    </row>
    <row r="30" spans="1:6" x14ac:dyDescent="0.35">
      <c r="A30" s="249">
        <f t="shared" si="4"/>
        <v>2039</v>
      </c>
      <c r="B30" s="236">
        <f>laufendeBK!H32</f>
        <v>2309678.7013244475</v>
      </c>
      <c r="C30" s="236">
        <f t="shared" si="2"/>
        <v>485452.99745575711</v>
      </c>
      <c r="D30" s="236">
        <f t="shared" si="3"/>
        <v>2795131.6987802046</v>
      </c>
      <c r="E30" s="237">
        <f>Verbrauch!B28</f>
        <v>738161.51882472378</v>
      </c>
      <c r="F30" s="250">
        <f>F29</f>
        <v>3.7866125874869776</v>
      </c>
    </row>
    <row r="31" spans="1:6" x14ac:dyDescent="0.35">
      <c r="A31" s="249">
        <f t="shared" si="4"/>
        <v>2040</v>
      </c>
      <c r="B31" s="236">
        <f>laufendeBK!H33</f>
        <v>2344323.8818443143</v>
      </c>
      <c r="C31" s="236">
        <f t="shared" si="2"/>
        <v>453602.94863467012</v>
      </c>
      <c r="D31" s="236">
        <f t="shared" si="3"/>
        <v>2797926.8304789844</v>
      </c>
      <c r="E31" s="237">
        <f>Verbrauch!B29</f>
        <v>738899.68034354842</v>
      </c>
      <c r="F31" s="250">
        <f>F30</f>
        <v>3.7866125874869776</v>
      </c>
    </row>
    <row r="32" spans="1:6" x14ac:dyDescent="0.35">
      <c r="A32" s="249">
        <f t="shared" si="4"/>
        <v>2041</v>
      </c>
      <c r="B32" s="236">
        <f>laufendeBK!H34</f>
        <v>2379488.7400719789</v>
      </c>
      <c r="C32" s="236">
        <f t="shared" si="2"/>
        <v>637687.24026045203</v>
      </c>
      <c r="D32" s="236">
        <f t="shared" si="3"/>
        <v>3017175.9803324309</v>
      </c>
      <c r="E32" s="237">
        <f>Verbrauch!B30</f>
        <v>739638.58002389187</v>
      </c>
      <c r="F32" s="251">
        <f>(1+$B$3)^5*F31</f>
        <v>4.0792571694069419</v>
      </c>
    </row>
    <row r="33" spans="1:6" x14ac:dyDescent="0.35">
      <c r="A33" s="249">
        <f t="shared" si="4"/>
        <v>2042</v>
      </c>
      <c r="B33" s="236">
        <f>laufendeBK!H35</f>
        <v>2415181.0711730584</v>
      </c>
      <c r="C33" s="236">
        <f t="shared" si="2"/>
        <v>605012.08513970487</v>
      </c>
      <c r="D33" s="236">
        <f t="shared" si="3"/>
        <v>3020193.1563127632</v>
      </c>
      <c r="E33" s="237">
        <f>Verbrauch!B31</f>
        <v>740378.21860391565</v>
      </c>
      <c r="F33" s="250">
        <f>F32</f>
        <v>4.0792571694069419</v>
      </c>
    </row>
    <row r="34" spans="1:6" x14ac:dyDescent="0.35">
      <c r="A34" s="249">
        <f t="shared" si="4"/>
        <v>2043</v>
      </c>
      <c r="B34" s="236">
        <f>laufendeBK!H36</f>
        <v>2451408.7872406538</v>
      </c>
      <c r="C34" s="236">
        <f t="shared" si="2"/>
        <v>571804.56222842168</v>
      </c>
      <c r="D34" s="236">
        <f t="shared" si="3"/>
        <v>3023213.3494690754</v>
      </c>
      <c r="E34" s="237">
        <f>Verbrauch!B32</f>
        <v>741118.59682251944</v>
      </c>
      <c r="F34" s="250">
        <f>F33</f>
        <v>4.0792571694069419</v>
      </c>
    </row>
    <row r="35" spans="1:6" x14ac:dyDescent="0.35">
      <c r="A35" s="249">
        <f t="shared" si="4"/>
        <v>2044</v>
      </c>
      <c r="B35" s="236">
        <f>laufendeBK!H37</f>
        <v>2488179.919049263</v>
      </c>
      <c r="C35" s="236">
        <f t="shared" si="2"/>
        <v>538056.64376928145</v>
      </c>
      <c r="D35" s="236">
        <f t="shared" si="3"/>
        <v>3026236.5628185445</v>
      </c>
      <c r="E35" s="237">
        <f>Verbrauch!B33</f>
        <v>741859.71541934193</v>
      </c>
      <c r="F35" s="250">
        <f>F34</f>
        <v>4.0792571694069419</v>
      </c>
    </row>
    <row r="36" spans="1:6" x14ac:dyDescent="0.35">
      <c r="A36" s="249">
        <f t="shared" si="4"/>
        <v>2045</v>
      </c>
      <c r="B36" s="236">
        <f>laufendeBK!H38</f>
        <v>2525502.6178350025</v>
      </c>
      <c r="C36" s="236">
        <f t="shared" si="2"/>
        <v>503760.18154635979</v>
      </c>
      <c r="D36" s="236">
        <f t="shared" si="3"/>
        <v>3029262.7993813623</v>
      </c>
      <c r="E36" s="237">
        <f>Verbrauch!B34</f>
        <v>742601.57513476117</v>
      </c>
      <c r="F36" s="250">
        <f>F35</f>
        <v>4.0792571694069419</v>
      </c>
    </row>
    <row r="37" spans="1:6" x14ac:dyDescent="0.35">
      <c r="A37" s="249">
        <f t="shared" si="4"/>
        <v>2046</v>
      </c>
      <c r="B37" s="236">
        <f>laufendeBK!H39</f>
        <v>2563385.1571025271</v>
      </c>
      <c r="C37" s="236">
        <f t="shared" si="2"/>
        <v>703254.57659035036</v>
      </c>
      <c r="D37" s="236">
        <f t="shared" si="3"/>
        <v>3266639.7336928775</v>
      </c>
      <c r="E37" s="237">
        <f>Verbrauch!B35</f>
        <v>743344.17670989584</v>
      </c>
      <c r="F37" s="251">
        <f>(1+$B$3)^5*F36</f>
        <v>4.3945184963327497</v>
      </c>
    </row>
    <row r="38" spans="1:6" x14ac:dyDescent="0.35">
      <c r="A38" s="249">
        <f t="shared" si="4"/>
        <v>2047</v>
      </c>
      <c r="B38" s="236">
        <f>laufendeBK!H40</f>
        <v>2601835.9344590642</v>
      </c>
      <c r="C38" s="236">
        <f t="shared" si="2"/>
        <v>668070.43896750547</v>
      </c>
      <c r="D38" s="236">
        <f t="shared" si="3"/>
        <v>3269906.3734265696</v>
      </c>
      <c r="E38" s="237">
        <f>Verbrauch!B36</f>
        <v>744087.52088660561</v>
      </c>
      <c r="F38" s="250">
        <f>F37</f>
        <v>4.3945184963327497</v>
      </c>
    </row>
    <row r="39" spans="1:6" x14ac:dyDescent="0.35">
      <c r="A39" s="249">
        <f t="shared" si="4"/>
        <v>2048</v>
      </c>
      <c r="B39" s="236">
        <f>laufendeBK!H41</f>
        <v>2640863.4734759498</v>
      </c>
      <c r="C39" s="236">
        <f t="shared" si="2"/>
        <v>632312.80632404611</v>
      </c>
      <c r="D39" s="236">
        <f t="shared" si="3"/>
        <v>3273176.2797999959</v>
      </c>
      <c r="E39" s="237">
        <f>Verbrauch!B37</f>
        <v>744831.60840749217</v>
      </c>
      <c r="F39" s="250">
        <f>F38</f>
        <v>4.3945184963327497</v>
      </c>
    </row>
    <row r="40" spans="1:6" x14ac:dyDescent="0.35">
      <c r="A40" s="249">
        <f t="shared" si="4"/>
        <v>2049</v>
      </c>
      <c r="B40" s="236">
        <f>laufendeBK!H42</f>
        <v>2680476.4255780894</v>
      </c>
      <c r="C40" s="236">
        <f t="shared" si="2"/>
        <v>595973.03050170606</v>
      </c>
      <c r="D40" s="236">
        <f t="shared" si="3"/>
        <v>3276449.4560797955</v>
      </c>
      <c r="E40" s="237">
        <f>Verbrauch!B38</f>
        <v>745576.4400158996</v>
      </c>
      <c r="F40" s="250">
        <f>F39</f>
        <v>4.3945184963327497</v>
      </c>
    </row>
    <row r="41" spans="1:6" x14ac:dyDescent="0.35">
      <c r="A41" s="249">
        <f t="shared" si="4"/>
        <v>2050</v>
      </c>
      <c r="B41" s="236">
        <f>laufendeBK!H43</f>
        <v>2720683.5719617605</v>
      </c>
      <c r="C41" s="236">
        <f t="shared" si="2"/>
        <v>559042.33357411437</v>
      </c>
      <c r="D41" s="236">
        <f t="shared" si="3"/>
        <v>3279725.9055358749</v>
      </c>
      <c r="E41" s="237">
        <f>Verbrauch!B39</f>
        <v>746322.01645591541</v>
      </c>
      <c r="F41" s="250">
        <f>F40</f>
        <v>4.3945184963327497</v>
      </c>
    </row>
    <row r="42" spans="1:6" x14ac:dyDescent="0.35">
      <c r="A42" s="249">
        <f t="shared" si="4"/>
        <v>2051</v>
      </c>
      <c r="B42" s="236">
        <f>laufendeBK!H44</f>
        <v>2761493.8255411866</v>
      </c>
      <c r="C42" s="236">
        <f t="shared" si="2"/>
        <v>775235.62587296451</v>
      </c>
      <c r="D42" s="236">
        <f t="shared" si="3"/>
        <v>3536729.4514141511</v>
      </c>
      <c r="E42" s="237">
        <f>Verbrauch!B40</f>
        <v>747068.33847237122</v>
      </c>
      <c r="F42" s="251">
        <f>(1+$B$3)^5*F41</f>
        <v>4.7341444808732849</v>
      </c>
    </row>
    <row r="43" spans="1:6" x14ac:dyDescent="0.35">
      <c r="A43" s="249">
        <f t="shared" si="4"/>
        <v>2052</v>
      </c>
      <c r="B43" s="236">
        <f>laufendeBK!H45</f>
        <v>2802916.232924304</v>
      </c>
      <c r="C43" s="236">
        <f t="shared" si="2"/>
        <v>737349.94794126088</v>
      </c>
      <c r="D43" s="236">
        <f t="shared" si="3"/>
        <v>3540266.1808655648</v>
      </c>
      <c r="E43" s="237">
        <f>Verbrauch!B41</f>
        <v>747815.4068108435</v>
      </c>
      <c r="F43" s="250">
        <f>F42</f>
        <v>4.7341444808732849</v>
      </c>
    </row>
    <row r="44" spans="1:6" x14ac:dyDescent="0.35">
      <c r="A44" s="249">
        <f t="shared" si="4"/>
        <v>2053</v>
      </c>
      <c r="B44" s="236">
        <f>laufendeBK!H46</f>
        <v>2844959.9764181683</v>
      </c>
      <c r="C44" s="236">
        <f t="shared" si="2"/>
        <v>698846.47062826157</v>
      </c>
      <c r="D44" s="236">
        <f t="shared" si="3"/>
        <v>3543806.4470464299</v>
      </c>
      <c r="E44" s="237">
        <f>Verbrauch!B42</f>
        <v>748563.22221765423</v>
      </c>
      <c r="F44" s="250">
        <f>F43</f>
        <v>4.7341444808732849</v>
      </c>
    </row>
    <row r="45" spans="1:6" x14ac:dyDescent="0.35">
      <c r="A45" s="249">
        <f t="shared" si="4"/>
        <v>2054</v>
      </c>
      <c r="B45" s="236">
        <f>laufendeBK!H47</f>
        <v>2887634.3760644402</v>
      </c>
      <c r="C45" s="236">
        <f t="shared" si="2"/>
        <v>659715.87742903596</v>
      </c>
      <c r="D45" s="236">
        <f t="shared" si="3"/>
        <v>3547350.2534934762</v>
      </c>
      <c r="E45" s="237">
        <f>Verbrauch!B43</f>
        <v>749311.78543987183</v>
      </c>
      <c r="F45" s="250">
        <f>F44</f>
        <v>4.7341444808732849</v>
      </c>
    </row>
    <row r="46" spans="1:6" x14ac:dyDescent="0.35">
      <c r="A46" s="249">
        <f t="shared" si="4"/>
        <v>2055</v>
      </c>
      <c r="B46" s="236">
        <f>laufendeBK!H48</f>
        <v>2930948.8917054064</v>
      </c>
      <c r="C46" s="236">
        <f t="shared" si="2"/>
        <v>619948.71204156335</v>
      </c>
      <c r="D46" s="236">
        <f t="shared" si="3"/>
        <v>3550897.6037469697</v>
      </c>
      <c r="E46" s="237">
        <f>Verbrauch!B44</f>
        <v>750061.09722531168</v>
      </c>
      <c r="F46" s="250">
        <f>F45</f>
        <v>4.7341444808732849</v>
      </c>
    </row>
    <row r="47" spans="1:6" x14ac:dyDescent="0.35">
      <c r="A47" s="249">
        <f t="shared" si="4"/>
        <v>2056</v>
      </c>
      <c r="B47" s="236">
        <f>laufendeBK!H49</f>
        <v>2974913.1250809878</v>
      </c>
      <c r="C47" s="236">
        <f t="shared" si="2"/>
        <v>854237.38805492548</v>
      </c>
      <c r="D47" s="236">
        <f t="shared" si="3"/>
        <v>3829150.5131359133</v>
      </c>
      <c r="E47" s="237">
        <f>Verbrauch!B45</f>
        <v>750811.15832253685</v>
      </c>
      <c r="F47" s="251">
        <f>(1+$B$3)^5*F46</f>
        <v>5.100018121322285</v>
      </c>
    </row>
    <row r="48" spans="1:6" x14ac:dyDescent="0.35">
      <c r="A48" s="249">
        <f t="shared" si="4"/>
        <v>2057</v>
      </c>
      <c r="B48" s="236">
        <f>laufendeBK!H50</f>
        <v>3019536.8219572026</v>
      </c>
      <c r="C48" s="236">
        <f t="shared" si="2"/>
        <v>813442.84169184603</v>
      </c>
      <c r="D48" s="236">
        <f t="shared" si="3"/>
        <v>3832979.6636490487</v>
      </c>
      <c r="E48" s="237">
        <f>Verbrauch!B46</f>
        <v>751561.96948085935</v>
      </c>
      <c r="F48" s="250">
        <f>F47</f>
        <v>5.100018121322285</v>
      </c>
    </row>
    <row r="49" spans="1:6" x14ac:dyDescent="0.35">
      <c r="A49" s="249">
        <f t="shared" si="4"/>
        <v>2058</v>
      </c>
      <c r="B49" s="236">
        <f>laufendeBK!H51</f>
        <v>3064829.8742865608</v>
      </c>
      <c r="C49" s="236">
        <f t="shared" si="2"/>
        <v>771982.76902613696</v>
      </c>
      <c r="D49" s="236">
        <f t="shared" si="3"/>
        <v>3836812.6433126978</v>
      </c>
      <c r="E49" s="237">
        <f>Verbrauch!B47</f>
        <v>752313.53145034018</v>
      </c>
      <c r="F49" s="250">
        <f>F48</f>
        <v>5.100018121322285</v>
      </c>
    </row>
    <row r="50" spans="1:6" x14ac:dyDescent="0.35">
      <c r="A50" s="249">
        <f t="shared" si="4"/>
        <v>2059</v>
      </c>
      <c r="B50" s="236">
        <f>laufendeBK!H52</f>
        <v>3110802.3224008582</v>
      </c>
      <c r="C50" s="236">
        <f t="shared" si="2"/>
        <v>729847.13355515152</v>
      </c>
      <c r="D50" s="236">
        <f t="shared" si="3"/>
        <v>3840649.4559560097</v>
      </c>
      <c r="E50" s="237">
        <f>Verbrauch!B48</f>
        <v>753065.8449817904</v>
      </c>
      <c r="F50" s="250">
        <f>F49</f>
        <v>5.100018121322285</v>
      </c>
    </row>
    <row r="51" spans="1:6" x14ac:dyDescent="0.35">
      <c r="A51" s="249">
        <f t="shared" si="4"/>
        <v>2060</v>
      </c>
      <c r="B51" s="236">
        <f>laufendeBK!H53</f>
        <v>3157464.357236871</v>
      </c>
      <c r="C51" s="236">
        <f t="shared" si="2"/>
        <v>687025.74817509437</v>
      </c>
      <c r="D51" s="236">
        <f t="shared" si="3"/>
        <v>3844490.1054119654</v>
      </c>
      <c r="E51" s="237">
        <f>Verbrauch!B49</f>
        <v>753818.9108267721</v>
      </c>
      <c r="F51" s="250">
        <f>F50</f>
        <v>5.100018121322285</v>
      </c>
    </row>
    <row r="52" spans="1:6" x14ac:dyDescent="0.35">
      <c r="A52" s="249">
        <f t="shared" si="4"/>
        <v>2061</v>
      </c>
      <c r="B52" s="236">
        <f>laufendeBK!H54</f>
        <v>3204826.322595424</v>
      </c>
      <c r="C52" s="236">
        <f t="shared" si="2"/>
        <v>940922.97875028988</v>
      </c>
      <c r="D52" s="236">
        <f t="shared" si="3"/>
        <v>4145749.3013457139</v>
      </c>
      <c r="E52" s="237">
        <f>Verbrauch!B50</f>
        <v>754572.7297375988</v>
      </c>
      <c r="F52" s="251">
        <f>(1+$B$3)^5*F51</f>
        <v>5.4941679416209359</v>
      </c>
    </row>
    <row r="53" spans="1:6" x14ac:dyDescent="0.35">
      <c r="A53" s="249">
        <f t="shared" si="4"/>
        <v>2062</v>
      </c>
      <c r="B53" s="236">
        <f>laufendeBK!H55</f>
        <v>3252898.7174343546</v>
      </c>
      <c r="C53" s="236">
        <f t="shared" si="2"/>
        <v>896996.3332127044</v>
      </c>
      <c r="D53" s="236">
        <f t="shared" si="3"/>
        <v>4149895.050647059</v>
      </c>
      <c r="E53" s="237">
        <f>Verbrauch!B51</f>
        <v>755327.3024673363</v>
      </c>
      <c r="F53" s="250">
        <f>F52</f>
        <v>5.4941679416209359</v>
      </c>
    </row>
    <row r="54" spans="1:6" x14ac:dyDescent="0.35">
      <c r="A54" s="249">
        <f t="shared" si="4"/>
        <v>2063</v>
      </c>
      <c r="B54" s="236">
        <f>laufendeBK!H56</f>
        <v>3301692.1981958696</v>
      </c>
      <c r="C54" s="236">
        <f t="shared" si="2"/>
        <v>852352.74750183662</v>
      </c>
      <c r="D54" s="236">
        <f t="shared" si="3"/>
        <v>4154044.9456977062</v>
      </c>
      <c r="E54" s="237">
        <f>Verbrauch!B52</f>
        <v>756082.62976980361</v>
      </c>
      <c r="F54" s="250">
        <f>F53</f>
        <v>5.4941679416209359</v>
      </c>
    </row>
    <row r="55" spans="1:6" x14ac:dyDescent="0.35">
      <c r="A55" s="249">
        <f t="shared" si="4"/>
        <v>2064</v>
      </c>
      <c r="B55" s="236">
        <f>laufendeBK!H57</f>
        <v>3351217.5811688071</v>
      </c>
      <c r="C55" s="236">
        <f t="shared" si="2"/>
        <v>806981.40947459592</v>
      </c>
      <c r="D55" s="236">
        <f t="shared" si="3"/>
        <v>4158198.990643403</v>
      </c>
      <c r="E55" s="237">
        <f>Verbrauch!B53</f>
        <v>756838.7123995733</v>
      </c>
      <c r="F55" s="250">
        <f>F54</f>
        <v>5.4941679416209359</v>
      </c>
    </row>
    <row r="56" spans="1:6" x14ac:dyDescent="0.35">
      <c r="A56" s="249">
        <f t="shared" si="4"/>
        <v>2065</v>
      </c>
      <c r="B56" s="236">
        <f>laufendeBK!H58</f>
        <v>3401485.8448863397</v>
      </c>
      <c r="C56" s="236">
        <f t="shared" si="2"/>
        <v>760871.34474770632</v>
      </c>
      <c r="D56" s="236">
        <f t="shared" si="3"/>
        <v>4162357.1896340461</v>
      </c>
      <c r="E56" s="237">
        <f>Verbrauch!B54</f>
        <v>757595.55111197277</v>
      </c>
      <c r="F56" s="250">
        <f>F55</f>
        <v>5.4941679416209359</v>
      </c>
    </row>
    <row r="57" spans="1:6" x14ac:dyDescent="0.35">
      <c r="A57" s="249">
        <f t="shared" si="4"/>
        <v>2066</v>
      </c>
      <c r="B57" s="236">
        <f>laufendeBK!H59</f>
        <v>3452508.1325596338</v>
      </c>
      <c r="C57" s="236">
        <f t="shared" si="2"/>
        <v>1036016.7271050885</v>
      </c>
      <c r="D57" s="236">
        <f t="shared" si="3"/>
        <v>4488524.8596647223</v>
      </c>
      <c r="E57" s="237">
        <f>Verbrauch!B55</f>
        <v>758353.14666308463</v>
      </c>
      <c r="F57" s="251">
        <f>(1+$B$3)^5*F56</f>
        <v>5.918779238162573</v>
      </c>
    </row>
    <row r="58" spans="1:6" x14ac:dyDescent="0.35">
      <c r="A58" s="249">
        <f t="shared" si="4"/>
        <v>2067</v>
      </c>
      <c r="B58" s="236">
        <f>laufendeBK!H60</f>
        <v>3504295.7545480286</v>
      </c>
      <c r="C58" s="236">
        <f t="shared" si="2"/>
        <v>988717.6299763578</v>
      </c>
      <c r="D58" s="236">
        <f t="shared" si="3"/>
        <v>4493013.3845243864</v>
      </c>
      <c r="E58" s="237">
        <f>Verbrauch!B56</f>
        <v>759111.49980974768</v>
      </c>
      <c r="F58" s="250">
        <f>F57</f>
        <v>5.918779238162573</v>
      </c>
    </row>
    <row r="59" spans="1:6" x14ac:dyDescent="0.35">
      <c r="A59" s="249">
        <f t="shared" si="4"/>
        <v>2068</v>
      </c>
      <c r="B59" s="236">
        <f>laufendeBK!H61</f>
        <v>3556860.1908662482</v>
      </c>
      <c r="C59" s="236">
        <f t="shared" si="2"/>
        <v>940646.20704266196</v>
      </c>
      <c r="D59" s="236">
        <f t="shared" si="3"/>
        <v>4497506.3979089102</v>
      </c>
      <c r="E59" s="237">
        <f>Verbrauch!B57</f>
        <v>759870.61130955734</v>
      </c>
      <c r="F59" s="250">
        <f>F58</f>
        <v>5.918779238162573</v>
      </c>
    </row>
    <row r="60" spans="1:6" x14ac:dyDescent="0.35">
      <c r="A60" s="249">
        <f t="shared" si="4"/>
        <v>2069</v>
      </c>
      <c r="B60" s="236">
        <f>laufendeBK!H62</f>
        <v>3610213.0937292418</v>
      </c>
      <c r="C60" s="236">
        <f t="shared" si="2"/>
        <v>891790.81057757698</v>
      </c>
      <c r="D60" s="236">
        <f t="shared" si="3"/>
        <v>4502003.9043068187</v>
      </c>
      <c r="E60" s="237">
        <f>Verbrauch!B58</f>
        <v>760630.48192086676</v>
      </c>
      <c r="F60" s="250">
        <f>F59</f>
        <v>5.918779238162573</v>
      </c>
    </row>
    <row r="61" spans="1:6" ht="15" thickBot="1" x14ac:dyDescent="0.4">
      <c r="A61" s="252">
        <f t="shared" si="4"/>
        <v>2070</v>
      </c>
      <c r="B61" s="240">
        <f>laufendeBK!H63</f>
        <v>3664366.2901351801</v>
      </c>
      <c r="C61" s="240">
        <f t="shared" si="2"/>
        <v>842139.61807594495</v>
      </c>
      <c r="D61" s="240">
        <f t="shared" si="3"/>
        <v>4506505.9082111251</v>
      </c>
      <c r="E61" s="241">
        <f>Verbrauch!B59</f>
        <v>761391.11240278755</v>
      </c>
      <c r="F61" s="253">
        <f>F60</f>
        <v>5.918779238162573</v>
      </c>
    </row>
  </sheetData>
  <sheetProtection algorithmName="SHA-512" hashValue="AwTxIhT+AVq+S14KnZ9NUQ9LKjvLn58b0W8jUaWWxrUg2I/iIw/xU5VN0J14SXHYUDw5boYrN0MU7dHg2vwuxQ==" saltValue="V3vBbJ0c2iMvMCXhkeJpoA==" spinCount="100000" sheet="1" objects="1" scenarios="1"/>
  <mergeCells count="1">
    <mergeCell ref="A11:F11"/>
  </mergeCells>
  <pageMargins left="0.7" right="0.7" top="0.78740157499999996" bottom="0.78740157499999996" header="0.3" footer="0.3"/>
  <pageSetup paperSize="9" scale="68" fitToHeight="0" orientation="landscape" r:id="rId1"/>
  <headerFooter differentFirst="1">
    <oddHeader>&amp;R&amp;G</oddHeader>
    <firstHeader>&amp;R&amp;G</first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63"/>
  <sheetViews>
    <sheetView view="pageLayout" topLeftCell="A43" zoomScaleNormal="80" workbookViewId="0">
      <selection activeCell="B45" sqref="B45"/>
    </sheetView>
  </sheetViews>
  <sheetFormatPr baseColWidth="10" defaultColWidth="11.453125" defaultRowHeight="14.5" x14ac:dyDescent="0.35"/>
  <cols>
    <col min="1" max="1" width="11.453125" style="137"/>
    <col min="2" max="2" width="16.1796875" style="137" customWidth="1"/>
    <col min="3" max="3" width="22" style="137" customWidth="1"/>
    <col min="4" max="4" width="14.453125" style="137" customWidth="1"/>
    <col min="5" max="5" width="17.26953125" style="137" customWidth="1"/>
    <col min="6" max="6" width="19.81640625" style="137" customWidth="1"/>
    <col min="7" max="7" width="15.54296875" style="137" customWidth="1"/>
    <col min="8" max="8" width="22.54296875" style="137" customWidth="1"/>
    <col min="9" max="16384" width="11.453125" style="137"/>
  </cols>
  <sheetData>
    <row r="1" spans="1:9" ht="21" x14ac:dyDescent="0.5">
      <c r="A1" s="164" t="s">
        <v>23</v>
      </c>
    </row>
    <row r="2" spans="1:9" ht="23.25" customHeight="1" x14ac:dyDescent="0.35">
      <c r="A2" s="139" t="s">
        <v>152</v>
      </c>
    </row>
    <row r="3" spans="1:9" ht="63.75" customHeight="1" x14ac:dyDescent="0.35">
      <c r="A3" s="335" t="s">
        <v>151</v>
      </c>
      <c r="B3" s="336"/>
      <c r="C3" s="336"/>
      <c r="D3" s="336"/>
      <c r="E3" s="336"/>
      <c r="F3" s="336"/>
      <c r="G3" s="336"/>
      <c r="H3" s="336"/>
    </row>
    <row r="4" spans="1:9" ht="15" thickBot="1" x14ac:dyDescent="0.4">
      <c r="A4" s="256" t="s">
        <v>162</v>
      </c>
      <c r="B4" s="318">
        <v>1.4999999999999999E-2</v>
      </c>
      <c r="C4" s="256"/>
    </row>
    <row r="5" spans="1:9" ht="39" customHeight="1" thickBot="1" x14ac:dyDescent="0.4">
      <c r="A5" s="257" t="s">
        <v>14</v>
      </c>
      <c r="B5" s="258" t="s">
        <v>64</v>
      </c>
      <c r="C5" s="258" t="s">
        <v>65</v>
      </c>
      <c r="D5" s="258" t="s">
        <v>66</v>
      </c>
      <c r="E5" s="258" t="s">
        <v>67</v>
      </c>
      <c r="F5" s="258" t="s">
        <v>68</v>
      </c>
      <c r="G5" s="258" t="s">
        <v>69</v>
      </c>
      <c r="H5" s="259" t="s">
        <v>70</v>
      </c>
      <c r="I5" s="35"/>
    </row>
    <row r="6" spans="1:9" x14ac:dyDescent="0.35">
      <c r="A6" s="260">
        <f t="shared" ref="A6:A10" si="0">A7-1</f>
        <v>2015</v>
      </c>
      <c r="B6" s="208">
        <v>39946</v>
      </c>
      <c r="C6" s="208">
        <v>1258</v>
      </c>
      <c r="D6" s="208">
        <v>20055</v>
      </c>
      <c r="E6" s="208">
        <v>865636</v>
      </c>
      <c r="F6" s="208">
        <v>39400</v>
      </c>
      <c r="G6" s="208">
        <v>31555</v>
      </c>
      <c r="H6" s="261">
        <f>SUM(B6:G6)</f>
        <v>997850</v>
      </c>
    </row>
    <row r="7" spans="1:9" x14ac:dyDescent="0.35">
      <c r="A7" s="262">
        <f t="shared" si="0"/>
        <v>2016</v>
      </c>
      <c r="B7" s="208">
        <v>52272</v>
      </c>
      <c r="C7" s="208">
        <v>361</v>
      </c>
      <c r="D7" s="208">
        <v>20429</v>
      </c>
      <c r="E7" s="208">
        <v>992391</v>
      </c>
      <c r="F7" s="208">
        <v>77300</v>
      </c>
      <c r="G7" s="208">
        <v>79067</v>
      </c>
      <c r="H7" s="261">
        <f>SUM(B7:G7)</f>
        <v>1221820</v>
      </c>
    </row>
    <row r="8" spans="1:9" x14ac:dyDescent="0.35">
      <c r="A8" s="262">
        <f t="shared" si="0"/>
        <v>2017</v>
      </c>
      <c r="B8" s="208">
        <v>53133</v>
      </c>
      <c r="C8" s="208">
        <v>124</v>
      </c>
      <c r="D8" s="208">
        <v>87493</v>
      </c>
      <c r="E8" s="208">
        <v>900984</v>
      </c>
      <c r="F8" s="208">
        <v>83300</v>
      </c>
      <c r="G8" s="208">
        <v>110032</v>
      </c>
      <c r="H8" s="261">
        <f>SUM(B8:G8)</f>
        <v>1235066</v>
      </c>
    </row>
    <row r="9" spans="1:9" x14ac:dyDescent="0.35">
      <c r="A9" s="262">
        <f t="shared" si="0"/>
        <v>2018</v>
      </c>
      <c r="B9" s="208">
        <v>54396</v>
      </c>
      <c r="C9" s="208">
        <v>712</v>
      </c>
      <c r="D9" s="208">
        <v>172313</v>
      </c>
      <c r="E9" s="208">
        <v>781404</v>
      </c>
      <c r="F9" s="208">
        <v>89200</v>
      </c>
      <c r="G9" s="208">
        <v>169034</v>
      </c>
      <c r="H9" s="261">
        <f>SUM(B9:G9)</f>
        <v>1267059</v>
      </c>
    </row>
    <row r="10" spans="1:9" x14ac:dyDescent="0.35">
      <c r="A10" s="262">
        <f t="shared" si="0"/>
        <v>2019</v>
      </c>
      <c r="B10" s="208">
        <v>56856</v>
      </c>
      <c r="C10" s="208">
        <v>1483</v>
      </c>
      <c r="D10" s="208">
        <v>77628</v>
      </c>
      <c r="E10" s="208">
        <v>1237314</v>
      </c>
      <c r="F10" s="208">
        <v>92500</v>
      </c>
      <c r="G10" s="208">
        <v>200258</v>
      </c>
      <c r="H10" s="261">
        <f>SUM(B10:G10)</f>
        <v>1666039</v>
      </c>
    </row>
    <row r="11" spans="1:9" x14ac:dyDescent="0.35">
      <c r="A11" s="263">
        <f>Kostenkalkulation!E19</f>
        <v>2020</v>
      </c>
      <c r="B11" s="254">
        <v>164500</v>
      </c>
      <c r="C11" s="254">
        <v>1400</v>
      </c>
      <c r="D11" s="254">
        <v>125000</v>
      </c>
      <c r="E11" s="254">
        <v>1120000</v>
      </c>
      <c r="F11" s="254">
        <v>189500</v>
      </c>
      <c r="G11" s="254">
        <v>90200</v>
      </c>
      <c r="H11" s="264">
        <f>SUM(B10:G10)</f>
        <v>1666039</v>
      </c>
    </row>
    <row r="12" spans="1:9" ht="15" thickBot="1" x14ac:dyDescent="0.4">
      <c r="A12" s="265">
        <f>A11+1</f>
        <v>2021</v>
      </c>
      <c r="B12" s="255">
        <v>137100</v>
      </c>
      <c r="C12" s="255">
        <v>2600</v>
      </c>
      <c r="D12" s="255">
        <v>99800</v>
      </c>
      <c r="E12" s="255">
        <v>1210000</v>
      </c>
      <c r="F12" s="255">
        <v>227300</v>
      </c>
      <c r="G12" s="255">
        <v>89900</v>
      </c>
      <c r="H12" s="266">
        <f>SUM(B12:G12)</f>
        <v>1766700</v>
      </c>
    </row>
    <row r="13" spans="1:9" ht="24" customHeight="1" thickBot="1" x14ac:dyDescent="0.4">
      <c r="A13" s="333" t="s">
        <v>153</v>
      </c>
      <c r="B13" s="334"/>
      <c r="C13" s="334"/>
      <c r="D13" s="334"/>
      <c r="E13" s="334"/>
      <c r="F13" s="334"/>
      <c r="G13" s="334"/>
      <c r="H13" s="334"/>
    </row>
    <row r="14" spans="1:9" ht="15" thickBot="1" x14ac:dyDescent="0.4">
      <c r="A14" s="267">
        <f>A12</f>
        <v>2021</v>
      </c>
      <c r="B14" s="268">
        <f t="shared" ref="B14:H14" si="1">B12</f>
        <v>137100</v>
      </c>
      <c r="C14" s="268">
        <f t="shared" si="1"/>
        <v>2600</v>
      </c>
      <c r="D14" s="268">
        <f t="shared" si="1"/>
        <v>99800</v>
      </c>
      <c r="E14" s="268">
        <f t="shared" si="1"/>
        <v>1210000</v>
      </c>
      <c r="F14" s="268">
        <f t="shared" si="1"/>
        <v>227300</v>
      </c>
      <c r="G14" s="268">
        <f t="shared" si="1"/>
        <v>89900</v>
      </c>
      <c r="H14" s="269">
        <f t="shared" si="1"/>
        <v>1766700</v>
      </c>
    </row>
    <row r="15" spans="1:9" x14ac:dyDescent="0.35">
      <c r="A15" s="247">
        <f>A14+1</f>
        <v>2022</v>
      </c>
      <c r="B15" s="236">
        <f t="shared" ref="B15:G15" si="2">B14*(1+$B$4)</f>
        <v>139156.5</v>
      </c>
      <c r="C15" s="236">
        <f t="shared" si="2"/>
        <v>2638.9999999999995</v>
      </c>
      <c r="D15" s="236">
        <f t="shared" si="2"/>
        <v>101296.99999999999</v>
      </c>
      <c r="E15" s="236">
        <f t="shared" si="2"/>
        <v>1228149.9999999998</v>
      </c>
      <c r="F15" s="236">
        <f t="shared" si="2"/>
        <v>230709.49999999997</v>
      </c>
      <c r="G15" s="236">
        <f t="shared" si="2"/>
        <v>91248.499999999985</v>
      </c>
      <c r="H15" s="270">
        <f t="shared" ref="H15:H24" si="3">SUM(B15:G15)</f>
        <v>1793200.4999999998</v>
      </c>
    </row>
    <row r="16" spans="1:9" x14ac:dyDescent="0.35">
      <c r="A16" s="271">
        <f>A15+1</f>
        <v>2023</v>
      </c>
      <c r="B16" s="236">
        <f t="shared" ref="B16:B22" si="4">B15*(1+$B$4)</f>
        <v>141243.84749999997</v>
      </c>
      <c r="C16" s="236">
        <f t="shared" ref="C16:C22" si="5">C15*(1+$B$4)</f>
        <v>2678.5849999999991</v>
      </c>
      <c r="D16" s="236">
        <f t="shared" ref="D16:D22" si="6">D15*(1+$B$4)</f>
        <v>102816.45499999997</v>
      </c>
      <c r="E16" s="236">
        <f t="shared" ref="E16:E22" si="7">E15*(1+$B$4)</f>
        <v>1246572.2499999995</v>
      </c>
      <c r="F16" s="236">
        <f t="shared" ref="F16:F22" si="8">F15*(1+$B$4)</f>
        <v>234170.14249999996</v>
      </c>
      <c r="G16" s="236">
        <f t="shared" ref="G16:G22" si="9">G15*(1+$B$4)</f>
        <v>92617.227499999979</v>
      </c>
      <c r="H16" s="270">
        <f t="shared" si="3"/>
        <v>1820098.5074999994</v>
      </c>
    </row>
    <row r="17" spans="1:8" x14ac:dyDescent="0.35">
      <c r="A17" s="271">
        <f>A16+1</f>
        <v>2024</v>
      </c>
      <c r="B17" s="236">
        <f t="shared" si="4"/>
        <v>143362.50521249996</v>
      </c>
      <c r="C17" s="236">
        <f t="shared" si="5"/>
        <v>2718.763774999999</v>
      </c>
      <c r="D17" s="236">
        <f t="shared" si="6"/>
        <v>104358.70182499997</v>
      </c>
      <c r="E17" s="236">
        <f t="shared" si="7"/>
        <v>1265270.8337499993</v>
      </c>
      <c r="F17" s="236">
        <f t="shared" si="8"/>
        <v>237682.69463749992</v>
      </c>
      <c r="G17" s="236">
        <f t="shared" si="9"/>
        <v>94006.485912499964</v>
      </c>
      <c r="H17" s="270">
        <f t="shared" si="3"/>
        <v>1847399.9851124992</v>
      </c>
    </row>
    <row r="18" spans="1:8" x14ac:dyDescent="0.35">
      <c r="A18" s="249">
        <f>A17+1</f>
        <v>2025</v>
      </c>
      <c r="B18" s="236">
        <f t="shared" si="4"/>
        <v>145512.94279068746</v>
      </c>
      <c r="C18" s="236">
        <f t="shared" si="5"/>
        <v>2759.5452316249989</v>
      </c>
      <c r="D18" s="236">
        <f t="shared" si="6"/>
        <v>105924.08235237496</v>
      </c>
      <c r="E18" s="236">
        <f t="shared" si="7"/>
        <v>1284249.8962562492</v>
      </c>
      <c r="F18" s="236">
        <f t="shared" si="8"/>
        <v>241247.93505706239</v>
      </c>
      <c r="G18" s="236">
        <f t="shared" si="9"/>
        <v>95416.583201187459</v>
      </c>
      <c r="H18" s="270">
        <f t="shared" si="3"/>
        <v>1875110.9848891865</v>
      </c>
    </row>
    <row r="19" spans="1:8" x14ac:dyDescent="0.35">
      <c r="A19" s="271">
        <f>A18+1</f>
        <v>2026</v>
      </c>
      <c r="B19" s="236">
        <f t="shared" si="4"/>
        <v>147695.63693254776</v>
      </c>
      <c r="C19" s="236">
        <f t="shared" si="5"/>
        <v>2800.9384100993734</v>
      </c>
      <c r="D19" s="236">
        <f t="shared" si="6"/>
        <v>107512.94358766057</v>
      </c>
      <c r="E19" s="236">
        <f t="shared" si="7"/>
        <v>1303513.6447000927</v>
      </c>
      <c r="F19" s="236">
        <f t="shared" si="8"/>
        <v>244866.65408291831</v>
      </c>
      <c r="G19" s="236">
        <f t="shared" si="9"/>
        <v>96847.831949205269</v>
      </c>
      <c r="H19" s="270">
        <f t="shared" si="3"/>
        <v>1903237.649662524</v>
      </c>
    </row>
    <row r="20" spans="1:8" x14ac:dyDescent="0.35">
      <c r="A20" s="271">
        <f t="shared" ref="A20:A24" si="10">A19+1</f>
        <v>2027</v>
      </c>
      <c r="B20" s="236">
        <f t="shared" si="4"/>
        <v>149911.07148653595</v>
      </c>
      <c r="C20" s="236">
        <f t="shared" si="5"/>
        <v>2842.9524862508638</v>
      </c>
      <c r="D20" s="236">
        <f t="shared" si="6"/>
        <v>109125.63774147547</v>
      </c>
      <c r="E20" s="236">
        <f t="shared" si="7"/>
        <v>1323066.3493705939</v>
      </c>
      <c r="F20" s="236">
        <f t="shared" si="8"/>
        <v>248539.65389416207</v>
      </c>
      <c r="G20" s="236">
        <f t="shared" si="9"/>
        <v>98300.549428443337</v>
      </c>
      <c r="H20" s="270">
        <f t="shared" si="3"/>
        <v>1931786.2144074617</v>
      </c>
    </row>
    <row r="21" spans="1:8" x14ac:dyDescent="0.35">
      <c r="A21" s="271">
        <f t="shared" si="10"/>
        <v>2028</v>
      </c>
      <c r="B21" s="236">
        <f t="shared" si="4"/>
        <v>152159.73755883396</v>
      </c>
      <c r="C21" s="236">
        <f t="shared" si="5"/>
        <v>2885.5967735446266</v>
      </c>
      <c r="D21" s="236">
        <f t="shared" si="6"/>
        <v>110762.5223075976</v>
      </c>
      <c r="E21" s="236">
        <f t="shared" si="7"/>
        <v>1342912.3446111528</v>
      </c>
      <c r="F21" s="236">
        <f t="shared" si="8"/>
        <v>252267.74870257446</v>
      </c>
      <c r="G21" s="236">
        <f t="shared" si="9"/>
        <v>99775.057669869973</v>
      </c>
      <c r="H21" s="270">
        <f t="shared" si="3"/>
        <v>1960763.0076235733</v>
      </c>
    </row>
    <row r="22" spans="1:8" x14ac:dyDescent="0.35">
      <c r="A22" s="271">
        <f t="shared" si="10"/>
        <v>2029</v>
      </c>
      <c r="B22" s="236">
        <f t="shared" si="4"/>
        <v>154442.13362221647</v>
      </c>
      <c r="C22" s="236">
        <f t="shared" si="5"/>
        <v>2928.8807251477956</v>
      </c>
      <c r="D22" s="236">
        <f t="shared" si="6"/>
        <v>112423.96014221155</v>
      </c>
      <c r="E22" s="236">
        <f t="shared" si="7"/>
        <v>1363056.0297803199</v>
      </c>
      <c r="F22" s="236">
        <f t="shared" si="8"/>
        <v>256051.76493311307</v>
      </c>
      <c r="G22" s="236">
        <f t="shared" si="9"/>
        <v>101271.68353491802</v>
      </c>
      <c r="H22" s="270">
        <f t="shared" si="3"/>
        <v>1990174.4527379267</v>
      </c>
    </row>
    <row r="23" spans="1:8" x14ac:dyDescent="0.35">
      <c r="A23" s="271">
        <f t="shared" si="10"/>
        <v>2030</v>
      </c>
      <c r="B23" s="236">
        <f t="shared" ref="B23:B63" si="11">B22*(1+$B$4)</f>
        <v>156758.76562654969</v>
      </c>
      <c r="C23" s="236">
        <f t="shared" ref="C23:C63" si="12">C22*(1+$B$4)</f>
        <v>2972.813936025012</v>
      </c>
      <c r="D23" s="236">
        <f t="shared" ref="D23:D63" si="13">D22*(1+$B$4)</f>
        <v>114110.31954434472</v>
      </c>
      <c r="E23" s="236">
        <f t="shared" ref="E23:E63" si="14">E22*(1+$B$4)</f>
        <v>1383501.8702270247</v>
      </c>
      <c r="F23" s="236">
        <f t="shared" ref="F23:F63" si="15">F22*(1+$B$4)</f>
        <v>259892.54140710973</v>
      </c>
      <c r="G23" s="236">
        <f t="shared" ref="G23:G63" si="16">G22*(1+$B$4)</f>
        <v>102790.75878794178</v>
      </c>
      <c r="H23" s="270">
        <f t="shared" si="3"/>
        <v>2020027.0695289958</v>
      </c>
    </row>
    <row r="24" spans="1:8" x14ac:dyDescent="0.35">
      <c r="A24" s="271">
        <f t="shared" si="10"/>
        <v>2031</v>
      </c>
      <c r="B24" s="236">
        <f t="shared" si="11"/>
        <v>159110.14711094793</v>
      </c>
      <c r="C24" s="236">
        <f t="shared" si="12"/>
        <v>3017.4061450653871</v>
      </c>
      <c r="D24" s="236">
        <f t="shared" si="13"/>
        <v>115821.97433750988</v>
      </c>
      <c r="E24" s="236">
        <f t="shared" si="14"/>
        <v>1404254.3982804299</v>
      </c>
      <c r="F24" s="236">
        <f t="shared" si="15"/>
        <v>263790.92952821637</v>
      </c>
      <c r="G24" s="236">
        <f t="shared" si="16"/>
        <v>104332.62016976091</v>
      </c>
      <c r="H24" s="270">
        <f t="shared" si="3"/>
        <v>2050327.4755719304</v>
      </c>
    </row>
    <row r="25" spans="1:8" x14ac:dyDescent="0.35">
      <c r="A25" s="271">
        <f t="shared" ref="A25:A63" si="17">A24+1</f>
        <v>2032</v>
      </c>
      <c r="B25" s="236">
        <f t="shared" si="11"/>
        <v>161496.79931761214</v>
      </c>
      <c r="C25" s="236">
        <f t="shared" si="12"/>
        <v>3062.6672372413677</v>
      </c>
      <c r="D25" s="236">
        <f t="shared" si="13"/>
        <v>117559.30395257252</v>
      </c>
      <c r="E25" s="236">
        <f t="shared" si="14"/>
        <v>1425318.2142546361</v>
      </c>
      <c r="F25" s="236">
        <f t="shared" si="15"/>
        <v>267747.79347113956</v>
      </c>
      <c r="G25" s="236">
        <f t="shared" si="16"/>
        <v>105897.6094723073</v>
      </c>
      <c r="H25" s="270">
        <f t="shared" ref="H25:H63" si="18">SUM(B25:G25)</f>
        <v>2081082.3877055091</v>
      </c>
    </row>
    <row r="26" spans="1:8" x14ac:dyDescent="0.35">
      <c r="A26" s="271">
        <f t="shared" si="17"/>
        <v>2033</v>
      </c>
      <c r="B26" s="236">
        <f t="shared" si="11"/>
        <v>163919.25130737631</v>
      </c>
      <c r="C26" s="236">
        <f t="shared" si="12"/>
        <v>3108.607245799988</v>
      </c>
      <c r="D26" s="236">
        <f t="shared" si="13"/>
        <v>119322.6935118611</v>
      </c>
      <c r="E26" s="236">
        <f t="shared" si="14"/>
        <v>1446697.9874684555</v>
      </c>
      <c r="F26" s="236">
        <f t="shared" si="15"/>
        <v>271764.01037320663</v>
      </c>
      <c r="G26" s="236">
        <f t="shared" si="16"/>
        <v>107486.07361439191</v>
      </c>
      <c r="H26" s="270">
        <f t="shared" si="18"/>
        <v>2112298.6235210914</v>
      </c>
    </row>
    <row r="27" spans="1:8" x14ac:dyDescent="0.35">
      <c r="A27" s="271">
        <f t="shared" si="17"/>
        <v>2034</v>
      </c>
      <c r="B27" s="236">
        <f t="shared" si="11"/>
        <v>166378.04007698694</v>
      </c>
      <c r="C27" s="236">
        <f t="shared" si="12"/>
        <v>3155.2363544869877</v>
      </c>
      <c r="D27" s="236">
        <f t="shared" si="13"/>
        <v>121112.533914539</v>
      </c>
      <c r="E27" s="236">
        <f t="shared" si="14"/>
        <v>1468398.4572804822</v>
      </c>
      <c r="F27" s="236">
        <f t="shared" si="15"/>
        <v>275840.4705288047</v>
      </c>
      <c r="G27" s="236">
        <f t="shared" si="16"/>
        <v>109098.36471860777</v>
      </c>
      <c r="H27" s="270">
        <f t="shared" si="18"/>
        <v>2143983.1028739074</v>
      </c>
    </row>
    <row r="28" spans="1:8" x14ac:dyDescent="0.35">
      <c r="A28" s="271">
        <f t="shared" si="17"/>
        <v>2035</v>
      </c>
      <c r="B28" s="236">
        <f t="shared" si="11"/>
        <v>168873.71067814174</v>
      </c>
      <c r="C28" s="236">
        <f t="shared" si="12"/>
        <v>3202.5648998042921</v>
      </c>
      <c r="D28" s="236">
        <f t="shared" si="13"/>
        <v>122929.22192325708</v>
      </c>
      <c r="E28" s="236">
        <f t="shared" si="14"/>
        <v>1490424.4341396892</v>
      </c>
      <c r="F28" s="236">
        <f t="shared" si="15"/>
        <v>279978.07758673676</v>
      </c>
      <c r="G28" s="236">
        <f t="shared" si="16"/>
        <v>110734.84018938687</v>
      </c>
      <c r="H28" s="270">
        <f t="shared" si="18"/>
        <v>2176142.8494170159</v>
      </c>
    </row>
    <row r="29" spans="1:8" x14ac:dyDescent="0.35">
      <c r="A29" s="271">
        <f t="shared" si="17"/>
        <v>2036</v>
      </c>
      <c r="B29" s="236">
        <f t="shared" si="11"/>
        <v>171406.81633831386</v>
      </c>
      <c r="C29" s="236">
        <f t="shared" si="12"/>
        <v>3250.603373301356</v>
      </c>
      <c r="D29" s="236">
        <f t="shared" si="13"/>
        <v>124773.16025210592</v>
      </c>
      <c r="E29" s="236">
        <f t="shared" si="14"/>
        <v>1512780.8006517843</v>
      </c>
      <c r="F29" s="236">
        <f t="shared" si="15"/>
        <v>284177.74875053781</v>
      </c>
      <c r="G29" s="236">
        <f t="shared" si="16"/>
        <v>112395.86279222766</v>
      </c>
      <c r="H29" s="270">
        <f t="shared" si="18"/>
        <v>2208784.9921582709</v>
      </c>
    </row>
    <row r="30" spans="1:8" x14ac:dyDescent="0.35">
      <c r="A30" s="271">
        <f t="shared" si="17"/>
        <v>2037</v>
      </c>
      <c r="B30" s="236">
        <f t="shared" si="11"/>
        <v>173977.91858338856</v>
      </c>
      <c r="C30" s="236">
        <f t="shared" si="12"/>
        <v>3299.3624239008759</v>
      </c>
      <c r="D30" s="236">
        <f t="shared" si="13"/>
        <v>126644.7576558875</v>
      </c>
      <c r="E30" s="236">
        <f t="shared" si="14"/>
        <v>1535472.5126615609</v>
      </c>
      <c r="F30" s="236">
        <f t="shared" si="15"/>
        <v>288440.41498179582</v>
      </c>
      <c r="G30" s="236">
        <f t="shared" si="16"/>
        <v>114081.80073411106</v>
      </c>
      <c r="H30" s="270">
        <f t="shared" si="18"/>
        <v>2241916.7670406448</v>
      </c>
    </row>
    <row r="31" spans="1:8" x14ac:dyDescent="0.35">
      <c r="A31" s="271">
        <f t="shared" si="17"/>
        <v>2038</v>
      </c>
      <c r="B31" s="236">
        <f t="shared" si="11"/>
        <v>176587.58736213937</v>
      </c>
      <c r="C31" s="236">
        <f t="shared" si="12"/>
        <v>3348.8528602593888</v>
      </c>
      <c r="D31" s="236">
        <f t="shared" si="13"/>
        <v>128544.4290207258</v>
      </c>
      <c r="E31" s="236">
        <f t="shared" si="14"/>
        <v>1558504.6003514843</v>
      </c>
      <c r="F31" s="236">
        <f t="shared" si="15"/>
        <v>292767.02120652271</v>
      </c>
      <c r="G31" s="236">
        <f t="shared" si="16"/>
        <v>115793.02774512272</v>
      </c>
      <c r="H31" s="270">
        <f t="shared" si="18"/>
        <v>2275545.5185462539</v>
      </c>
    </row>
    <row r="32" spans="1:8" x14ac:dyDescent="0.35">
      <c r="A32" s="271">
        <f t="shared" si="17"/>
        <v>2039</v>
      </c>
      <c r="B32" s="236">
        <f t="shared" si="11"/>
        <v>179236.40117257144</v>
      </c>
      <c r="C32" s="236">
        <f t="shared" si="12"/>
        <v>3399.0856531632794</v>
      </c>
      <c r="D32" s="236">
        <f t="shared" si="13"/>
        <v>130472.59545603668</v>
      </c>
      <c r="E32" s="236">
        <f t="shared" si="14"/>
        <v>1581882.1693567564</v>
      </c>
      <c r="F32" s="236">
        <f t="shared" si="15"/>
        <v>297158.52652462054</v>
      </c>
      <c r="G32" s="236">
        <f t="shared" si="16"/>
        <v>117529.92316129955</v>
      </c>
      <c r="H32" s="270">
        <f t="shared" si="18"/>
        <v>2309678.7013244475</v>
      </c>
    </row>
    <row r="33" spans="1:8" x14ac:dyDescent="0.35">
      <c r="A33" s="271">
        <f t="shared" si="17"/>
        <v>2040</v>
      </c>
      <c r="B33" s="236">
        <f t="shared" si="11"/>
        <v>181924.94719015999</v>
      </c>
      <c r="C33" s="236">
        <f t="shared" si="12"/>
        <v>3450.0719379607281</v>
      </c>
      <c r="D33" s="236">
        <f t="shared" si="13"/>
        <v>132429.68438787721</v>
      </c>
      <c r="E33" s="236">
        <f t="shared" si="14"/>
        <v>1605610.4018971075</v>
      </c>
      <c r="F33" s="236">
        <f t="shared" si="15"/>
        <v>301615.90442248981</v>
      </c>
      <c r="G33" s="236">
        <f t="shared" si="16"/>
        <v>119292.87200871903</v>
      </c>
      <c r="H33" s="270">
        <f t="shared" si="18"/>
        <v>2344323.8818443143</v>
      </c>
    </row>
    <row r="34" spans="1:8" x14ac:dyDescent="0.35">
      <c r="A34" s="271">
        <f t="shared" si="17"/>
        <v>2041</v>
      </c>
      <c r="B34" s="236">
        <f t="shared" si="11"/>
        <v>184653.82139801237</v>
      </c>
      <c r="C34" s="236">
        <f t="shared" si="12"/>
        <v>3501.8230170301385</v>
      </c>
      <c r="D34" s="236">
        <f t="shared" si="13"/>
        <v>134416.12965369536</v>
      </c>
      <c r="E34" s="236">
        <f t="shared" si="14"/>
        <v>1629694.557925564</v>
      </c>
      <c r="F34" s="236">
        <f t="shared" si="15"/>
        <v>306140.14298882714</v>
      </c>
      <c r="G34" s="236">
        <f t="shared" si="16"/>
        <v>121082.2650888498</v>
      </c>
      <c r="H34" s="270">
        <f t="shared" si="18"/>
        <v>2379488.7400719789</v>
      </c>
    </row>
    <row r="35" spans="1:8" x14ac:dyDescent="0.35">
      <c r="A35" s="271">
        <f t="shared" si="17"/>
        <v>2042</v>
      </c>
      <c r="B35" s="236">
        <f t="shared" si="11"/>
        <v>187423.62871898254</v>
      </c>
      <c r="C35" s="236">
        <f t="shared" si="12"/>
        <v>3554.3503622855901</v>
      </c>
      <c r="D35" s="236">
        <f t="shared" si="13"/>
        <v>136432.37159850079</v>
      </c>
      <c r="E35" s="236">
        <f t="shared" si="14"/>
        <v>1654139.9762944472</v>
      </c>
      <c r="F35" s="236">
        <f t="shared" si="15"/>
        <v>310732.24513365951</v>
      </c>
      <c r="G35" s="236">
        <f t="shared" si="16"/>
        <v>122898.49906518254</v>
      </c>
      <c r="H35" s="270">
        <f t="shared" si="18"/>
        <v>2415181.0711730584</v>
      </c>
    </row>
    <row r="36" spans="1:8" x14ac:dyDescent="0.35">
      <c r="A36" s="271">
        <f t="shared" si="17"/>
        <v>2043</v>
      </c>
      <c r="B36" s="236">
        <f t="shared" si="11"/>
        <v>190234.98314976727</v>
      </c>
      <c r="C36" s="236">
        <f t="shared" si="12"/>
        <v>3607.6656177198738</v>
      </c>
      <c r="D36" s="236">
        <f t="shared" si="13"/>
        <v>138478.85717247828</v>
      </c>
      <c r="E36" s="236">
        <f t="shared" si="14"/>
        <v>1678952.0759388637</v>
      </c>
      <c r="F36" s="236">
        <f t="shared" si="15"/>
        <v>315393.22881066438</v>
      </c>
      <c r="G36" s="236">
        <f t="shared" si="16"/>
        <v>124741.97655116026</v>
      </c>
      <c r="H36" s="270">
        <f t="shared" si="18"/>
        <v>2451408.7872406538</v>
      </c>
    </row>
    <row r="37" spans="1:8" x14ac:dyDescent="0.35">
      <c r="A37" s="271">
        <f t="shared" si="17"/>
        <v>2044</v>
      </c>
      <c r="B37" s="236">
        <f t="shared" si="11"/>
        <v>193088.50789701377</v>
      </c>
      <c r="C37" s="236">
        <f t="shared" si="12"/>
        <v>3661.7806019856716</v>
      </c>
      <c r="D37" s="236">
        <f t="shared" si="13"/>
        <v>140556.04003006543</v>
      </c>
      <c r="E37" s="236">
        <f t="shared" si="14"/>
        <v>1704136.3570779464</v>
      </c>
      <c r="F37" s="236">
        <f t="shared" si="15"/>
        <v>320124.1272428243</v>
      </c>
      <c r="G37" s="236">
        <f t="shared" si="16"/>
        <v>126613.10619942765</v>
      </c>
      <c r="H37" s="270">
        <f t="shared" si="18"/>
        <v>2488179.919049263</v>
      </c>
    </row>
    <row r="38" spans="1:8" x14ac:dyDescent="0.35">
      <c r="A38" s="271">
        <f t="shared" si="17"/>
        <v>2045</v>
      </c>
      <c r="B38" s="236">
        <f t="shared" si="11"/>
        <v>195984.83551546896</v>
      </c>
      <c r="C38" s="236">
        <f t="shared" si="12"/>
        <v>3716.7073110154565</v>
      </c>
      <c r="D38" s="236">
        <f t="shared" si="13"/>
        <v>142664.38063051639</v>
      </c>
      <c r="E38" s="236">
        <f t="shared" si="14"/>
        <v>1729698.4024341155</v>
      </c>
      <c r="F38" s="236">
        <f t="shared" si="15"/>
        <v>324925.98915146664</v>
      </c>
      <c r="G38" s="236">
        <f t="shared" si="16"/>
        <v>128512.30279241905</v>
      </c>
      <c r="H38" s="270">
        <f t="shared" si="18"/>
        <v>2525502.6178350025</v>
      </c>
    </row>
    <row r="39" spans="1:8" x14ac:dyDescent="0.35">
      <c r="A39" s="271">
        <f t="shared" si="17"/>
        <v>2046</v>
      </c>
      <c r="B39" s="236">
        <f t="shared" si="11"/>
        <v>198924.60804820099</v>
      </c>
      <c r="C39" s="236">
        <f t="shared" si="12"/>
        <v>3772.4579206806879</v>
      </c>
      <c r="D39" s="236">
        <f t="shared" si="13"/>
        <v>144804.34633997412</v>
      </c>
      <c r="E39" s="236">
        <f t="shared" si="14"/>
        <v>1755643.8784706271</v>
      </c>
      <c r="F39" s="236">
        <f t="shared" si="15"/>
        <v>329799.87898873858</v>
      </c>
      <c r="G39" s="236">
        <f t="shared" si="16"/>
        <v>130439.98733430533</v>
      </c>
      <c r="H39" s="270">
        <f t="shared" si="18"/>
        <v>2563385.1571025271</v>
      </c>
    </row>
    <row r="40" spans="1:8" x14ac:dyDescent="0.35">
      <c r="A40" s="271">
        <f t="shared" si="17"/>
        <v>2047</v>
      </c>
      <c r="B40" s="236">
        <f t="shared" si="11"/>
        <v>201908.47716892397</v>
      </c>
      <c r="C40" s="236">
        <f t="shared" si="12"/>
        <v>3829.044789490898</v>
      </c>
      <c r="D40" s="236">
        <f t="shared" si="13"/>
        <v>146976.41153507371</v>
      </c>
      <c r="E40" s="236">
        <f t="shared" si="14"/>
        <v>1781978.5366476863</v>
      </c>
      <c r="F40" s="236">
        <f t="shared" si="15"/>
        <v>334746.87717356964</v>
      </c>
      <c r="G40" s="236">
        <f t="shared" si="16"/>
        <v>132396.5871443199</v>
      </c>
      <c r="H40" s="270">
        <f t="shared" si="18"/>
        <v>2601835.9344590642</v>
      </c>
    </row>
    <row r="41" spans="1:8" x14ac:dyDescent="0.35">
      <c r="A41" s="271">
        <f t="shared" si="17"/>
        <v>2048</v>
      </c>
      <c r="B41" s="236">
        <f t="shared" si="11"/>
        <v>204937.1043264578</v>
      </c>
      <c r="C41" s="236">
        <f t="shared" si="12"/>
        <v>3886.4804613332612</v>
      </c>
      <c r="D41" s="236">
        <f t="shared" si="13"/>
        <v>149181.0577080998</v>
      </c>
      <c r="E41" s="236">
        <f t="shared" si="14"/>
        <v>1808708.2146974015</v>
      </c>
      <c r="F41" s="236">
        <f t="shared" si="15"/>
        <v>339768.08033117314</v>
      </c>
      <c r="G41" s="236">
        <f t="shared" si="16"/>
        <v>134382.53595148469</v>
      </c>
      <c r="H41" s="270">
        <f t="shared" si="18"/>
        <v>2640863.4734759498</v>
      </c>
    </row>
    <row r="42" spans="1:8" x14ac:dyDescent="0.35">
      <c r="A42" s="271">
        <f t="shared" si="17"/>
        <v>2049</v>
      </c>
      <c r="B42" s="236">
        <f t="shared" si="11"/>
        <v>208011.16089135464</v>
      </c>
      <c r="C42" s="236">
        <f t="shared" si="12"/>
        <v>3944.7776682532599</v>
      </c>
      <c r="D42" s="236">
        <f t="shared" si="13"/>
        <v>151418.77357372129</v>
      </c>
      <c r="E42" s="236">
        <f t="shared" si="14"/>
        <v>1835838.8379178625</v>
      </c>
      <c r="F42" s="236">
        <f t="shared" si="15"/>
        <v>344864.60153614072</v>
      </c>
      <c r="G42" s="236">
        <f t="shared" si="16"/>
        <v>136398.27399075695</v>
      </c>
      <c r="H42" s="270">
        <f t="shared" si="18"/>
        <v>2680476.4255780894</v>
      </c>
    </row>
    <row r="43" spans="1:8" x14ac:dyDescent="0.35">
      <c r="A43" s="271">
        <f t="shared" si="17"/>
        <v>2050</v>
      </c>
      <c r="B43" s="236">
        <f t="shared" si="11"/>
        <v>211131.32830472494</v>
      </c>
      <c r="C43" s="236">
        <f t="shared" si="12"/>
        <v>4003.9493332770585</v>
      </c>
      <c r="D43" s="236">
        <f t="shared" si="13"/>
        <v>153690.0551773271</v>
      </c>
      <c r="E43" s="236">
        <f t="shared" si="14"/>
        <v>1863376.4204866302</v>
      </c>
      <c r="F43" s="236">
        <f t="shared" si="15"/>
        <v>350037.57055918279</v>
      </c>
      <c r="G43" s="236">
        <f t="shared" si="16"/>
        <v>138444.24810061828</v>
      </c>
      <c r="H43" s="270">
        <f t="shared" si="18"/>
        <v>2720683.5719617605</v>
      </c>
    </row>
    <row r="44" spans="1:8" x14ac:dyDescent="0.35">
      <c r="A44" s="271">
        <f t="shared" si="17"/>
        <v>2051</v>
      </c>
      <c r="B44" s="236">
        <f t="shared" si="11"/>
        <v>214298.29822929579</v>
      </c>
      <c r="C44" s="236">
        <f t="shared" si="12"/>
        <v>4064.0085732762141</v>
      </c>
      <c r="D44" s="236">
        <f t="shared" si="13"/>
        <v>155995.40600498699</v>
      </c>
      <c r="E44" s="236">
        <f t="shared" si="14"/>
        <v>1891327.0667939296</v>
      </c>
      <c r="F44" s="236">
        <f t="shared" si="15"/>
        <v>355288.13411757047</v>
      </c>
      <c r="G44" s="236">
        <f t="shared" si="16"/>
        <v>140520.91182212753</v>
      </c>
      <c r="H44" s="270">
        <f t="shared" si="18"/>
        <v>2761493.8255411866</v>
      </c>
    </row>
    <row r="45" spans="1:8" x14ac:dyDescent="0.35">
      <c r="A45" s="271">
        <f t="shared" si="17"/>
        <v>2052</v>
      </c>
      <c r="B45" s="236">
        <f t="shared" si="11"/>
        <v>217512.77270273521</v>
      </c>
      <c r="C45" s="236">
        <f t="shared" si="12"/>
        <v>4124.9687018753566</v>
      </c>
      <c r="D45" s="236">
        <f t="shared" si="13"/>
        <v>158335.33709506178</v>
      </c>
      <c r="E45" s="236">
        <f t="shared" si="14"/>
        <v>1919696.9727958383</v>
      </c>
      <c r="F45" s="236">
        <f t="shared" si="15"/>
        <v>360617.45612933399</v>
      </c>
      <c r="G45" s="236">
        <f t="shared" si="16"/>
        <v>142628.72549945943</v>
      </c>
      <c r="H45" s="270">
        <f t="shared" si="18"/>
        <v>2802916.232924304</v>
      </c>
    </row>
    <row r="46" spans="1:8" x14ac:dyDescent="0.35">
      <c r="A46" s="271">
        <f t="shared" si="17"/>
        <v>2053</v>
      </c>
      <c r="B46" s="236">
        <f t="shared" si="11"/>
        <v>220775.46429327622</v>
      </c>
      <c r="C46" s="236">
        <f t="shared" si="12"/>
        <v>4186.8432324034866</v>
      </c>
      <c r="D46" s="236">
        <f t="shared" si="13"/>
        <v>160710.36715148771</v>
      </c>
      <c r="E46" s="236">
        <f t="shared" si="14"/>
        <v>1948492.4273877756</v>
      </c>
      <c r="F46" s="236">
        <f t="shared" si="15"/>
        <v>366026.71797127399</v>
      </c>
      <c r="G46" s="236">
        <f t="shared" si="16"/>
        <v>144768.1563819513</v>
      </c>
      <c r="H46" s="270">
        <f t="shared" si="18"/>
        <v>2844959.9764181683</v>
      </c>
    </row>
    <row r="47" spans="1:8" x14ac:dyDescent="0.35">
      <c r="A47" s="271">
        <f t="shared" si="17"/>
        <v>2054</v>
      </c>
      <c r="B47" s="236">
        <f t="shared" si="11"/>
        <v>224087.09625767535</v>
      </c>
      <c r="C47" s="236">
        <f t="shared" si="12"/>
        <v>4249.6458808895386</v>
      </c>
      <c r="D47" s="236">
        <f t="shared" si="13"/>
        <v>163121.02265876002</v>
      </c>
      <c r="E47" s="236">
        <f t="shared" si="14"/>
        <v>1977719.813798592</v>
      </c>
      <c r="F47" s="236">
        <f t="shared" si="15"/>
        <v>371517.11874084309</v>
      </c>
      <c r="G47" s="236">
        <f t="shared" si="16"/>
        <v>146939.67872768056</v>
      </c>
      <c r="H47" s="270">
        <f t="shared" si="18"/>
        <v>2887634.3760644402</v>
      </c>
    </row>
    <row r="48" spans="1:8" x14ac:dyDescent="0.35">
      <c r="A48" s="271">
        <f t="shared" si="17"/>
        <v>2055</v>
      </c>
      <c r="B48" s="236">
        <f t="shared" si="11"/>
        <v>227448.40270154047</v>
      </c>
      <c r="C48" s="236">
        <f t="shared" si="12"/>
        <v>4313.3905691028813</v>
      </c>
      <c r="D48" s="236">
        <f t="shared" si="13"/>
        <v>165567.83799864139</v>
      </c>
      <c r="E48" s="236">
        <f t="shared" si="14"/>
        <v>2007385.6110055707</v>
      </c>
      <c r="F48" s="236">
        <f t="shared" si="15"/>
        <v>377089.87552195572</v>
      </c>
      <c r="G48" s="236">
        <f t="shared" si="16"/>
        <v>149143.77390859576</v>
      </c>
      <c r="H48" s="270">
        <f t="shared" si="18"/>
        <v>2930948.8917054064</v>
      </c>
    </row>
    <row r="49" spans="1:8" x14ac:dyDescent="0.35">
      <c r="A49" s="271">
        <f t="shared" si="17"/>
        <v>2056</v>
      </c>
      <c r="B49" s="236">
        <f t="shared" si="11"/>
        <v>230860.12874206356</v>
      </c>
      <c r="C49" s="236">
        <f t="shared" si="12"/>
        <v>4378.0914276394242</v>
      </c>
      <c r="D49" s="236">
        <f t="shared" si="13"/>
        <v>168051.35556862099</v>
      </c>
      <c r="E49" s="236">
        <f t="shared" si="14"/>
        <v>2037496.3951706542</v>
      </c>
      <c r="F49" s="236">
        <f t="shared" si="15"/>
        <v>382746.22365478502</v>
      </c>
      <c r="G49" s="236">
        <f t="shared" si="16"/>
        <v>151380.93051722468</v>
      </c>
      <c r="H49" s="270">
        <f t="shared" si="18"/>
        <v>2974913.1250809878</v>
      </c>
    </row>
    <row r="50" spans="1:8" x14ac:dyDescent="0.35">
      <c r="A50" s="271">
        <f t="shared" si="17"/>
        <v>2057</v>
      </c>
      <c r="B50" s="236">
        <f t="shared" si="11"/>
        <v>234323.0306731945</v>
      </c>
      <c r="C50" s="236">
        <f t="shared" si="12"/>
        <v>4443.762799054015</v>
      </c>
      <c r="D50" s="236">
        <f t="shared" si="13"/>
        <v>170572.12590215029</v>
      </c>
      <c r="E50" s="236">
        <f t="shared" si="14"/>
        <v>2068058.8410982138</v>
      </c>
      <c r="F50" s="236">
        <f t="shared" si="15"/>
        <v>388487.41700960678</v>
      </c>
      <c r="G50" s="236">
        <f t="shared" si="16"/>
        <v>153651.64447498304</v>
      </c>
      <c r="H50" s="270">
        <f t="shared" si="18"/>
        <v>3019536.8219572026</v>
      </c>
    </row>
    <row r="51" spans="1:8" x14ac:dyDescent="0.35">
      <c r="A51" s="271">
        <f t="shared" si="17"/>
        <v>2058</v>
      </c>
      <c r="B51" s="236">
        <f t="shared" si="11"/>
        <v>237837.87613329239</v>
      </c>
      <c r="C51" s="236">
        <f t="shared" si="12"/>
        <v>4510.4192410398246</v>
      </c>
      <c r="D51" s="236">
        <f t="shared" si="13"/>
        <v>173130.70779068253</v>
      </c>
      <c r="E51" s="236">
        <f t="shared" si="14"/>
        <v>2099079.7237146869</v>
      </c>
      <c r="F51" s="236">
        <f t="shared" si="15"/>
        <v>394314.72826475085</v>
      </c>
      <c r="G51" s="236">
        <f t="shared" si="16"/>
        <v>155956.41914210777</v>
      </c>
      <c r="H51" s="270">
        <f t="shared" si="18"/>
        <v>3064829.8742865608</v>
      </c>
    </row>
    <row r="52" spans="1:8" x14ac:dyDescent="0.35">
      <c r="A52" s="271">
        <f t="shared" si="17"/>
        <v>2059</v>
      </c>
      <c r="B52" s="236">
        <f t="shared" si="11"/>
        <v>241405.44427529175</v>
      </c>
      <c r="C52" s="236">
        <f t="shared" si="12"/>
        <v>4578.0755296554216</v>
      </c>
      <c r="D52" s="236">
        <f t="shared" si="13"/>
        <v>175727.66840754275</v>
      </c>
      <c r="E52" s="236">
        <f t="shared" si="14"/>
        <v>2130565.9195704069</v>
      </c>
      <c r="F52" s="236">
        <f t="shared" si="15"/>
        <v>400229.44918872206</v>
      </c>
      <c r="G52" s="236">
        <f t="shared" si="16"/>
        <v>158295.76542923937</v>
      </c>
      <c r="H52" s="270">
        <f t="shared" si="18"/>
        <v>3110802.3224008582</v>
      </c>
    </row>
    <row r="53" spans="1:8" x14ac:dyDescent="0.35">
      <c r="A53" s="271">
        <f t="shared" si="17"/>
        <v>2060</v>
      </c>
      <c r="B53" s="236">
        <f t="shared" si="11"/>
        <v>245026.52593942112</v>
      </c>
      <c r="C53" s="236">
        <f t="shared" si="12"/>
        <v>4646.7466626002524</v>
      </c>
      <c r="D53" s="236">
        <f t="shared" si="13"/>
        <v>178363.58343365588</v>
      </c>
      <c r="E53" s="236">
        <f t="shared" si="14"/>
        <v>2162524.408363963</v>
      </c>
      <c r="F53" s="236">
        <f t="shared" si="15"/>
        <v>406232.89092655288</v>
      </c>
      <c r="G53" s="236">
        <f t="shared" si="16"/>
        <v>160670.20191067795</v>
      </c>
      <c r="H53" s="270">
        <f t="shared" si="18"/>
        <v>3157464.357236871</v>
      </c>
    </row>
    <row r="54" spans="1:8" x14ac:dyDescent="0.35">
      <c r="A54" s="271">
        <f t="shared" si="17"/>
        <v>2061</v>
      </c>
      <c r="B54" s="236">
        <f t="shared" si="11"/>
        <v>248701.9238285124</v>
      </c>
      <c r="C54" s="236">
        <f t="shared" si="12"/>
        <v>4716.4478625392558</v>
      </c>
      <c r="D54" s="236">
        <f t="shared" si="13"/>
        <v>181039.03718516071</v>
      </c>
      <c r="E54" s="236">
        <f t="shared" si="14"/>
        <v>2194962.2744894223</v>
      </c>
      <c r="F54" s="236">
        <f t="shared" si="15"/>
        <v>412326.38429045113</v>
      </c>
      <c r="G54" s="236">
        <f t="shared" si="16"/>
        <v>163080.25493933811</v>
      </c>
      <c r="H54" s="270">
        <f t="shared" si="18"/>
        <v>3204826.322595424</v>
      </c>
    </row>
    <row r="55" spans="1:8" x14ac:dyDescent="0.35">
      <c r="A55" s="271">
        <f t="shared" si="17"/>
        <v>2062</v>
      </c>
      <c r="B55" s="236">
        <f t="shared" si="11"/>
        <v>252432.45268594005</v>
      </c>
      <c r="C55" s="236">
        <f t="shared" si="12"/>
        <v>4787.1945804773441</v>
      </c>
      <c r="D55" s="236">
        <f t="shared" si="13"/>
        <v>183754.62274293811</v>
      </c>
      <c r="E55" s="236">
        <f t="shared" si="14"/>
        <v>2227886.7086067633</v>
      </c>
      <c r="F55" s="236">
        <f t="shared" si="15"/>
        <v>418511.28005480784</v>
      </c>
      <c r="G55" s="236">
        <f t="shared" si="16"/>
        <v>165526.45876342815</v>
      </c>
      <c r="H55" s="270">
        <f t="shared" si="18"/>
        <v>3252898.7174343546</v>
      </c>
    </row>
    <row r="56" spans="1:8" x14ac:dyDescent="0.35">
      <c r="A56" s="271">
        <f t="shared" si="17"/>
        <v>2063</v>
      </c>
      <c r="B56" s="236">
        <f t="shared" si="11"/>
        <v>256218.93947622913</v>
      </c>
      <c r="C56" s="236">
        <f t="shared" si="12"/>
        <v>4859.0024991845039</v>
      </c>
      <c r="D56" s="236">
        <f t="shared" si="13"/>
        <v>186510.94208408217</v>
      </c>
      <c r="E56" s="236">
        <f t="shared" si="14"/>
        <v>2261305.0092358645</v>
      </c>
      <c r="F56" s="236">
        <f t="shared" si="15"/>
        <v>424788.94925562991</v>
      </c>
      <c r="G56" s="236">
        <f t="shared" si="16"/>
        <v>168009.35564487954</v>
      </c>
      <c r="H56" s="270">
        <f t="shared" si="18"/>
        <v>3301692.1981958696</v>
      </c>
    </row>
    <row r="57" spans="1:8" x14ac:dyDescent="0.35">
      <c r="A57" s="271">
        <f t="shared" si="17"/>
        <v>2064</v>
      </c>
      <c r="B57" s="236">
        <f t="shared" si="11"/>
        <v>260062.22356837254</v>
      </c>
      <c r="C57" s="236">
        <f t="shared" si="12"/>
        <v>4931.8875366722714</v>
      </c>
      <c r="D57" s="236">
        <f t="shared" si="13"/>
        <v>189308.60621534337</v>
      </c>
      <c r="E57" s="236">
        <f t="shared" si="14"/>
        <v>2295224.5843744022</v>
      </c>
      <c r="F57" s="236">
        <f t="shared" si="15"/>
        <v>431160.7834944643</v>
      </c>
      <c r="G57" s="236">
        <f t="shared" si="16"/>
        <v>170529.49597955271</v>
      </c>
      <c r="H57" s="270">
        <f t="shared" si="18"/>
        <v>3351217.5811688071</v>
      </c>
    </row>
    <row r="58" spans="1:8" x14ac:dyDescent="0.35">
      <c r="A58" s="271">
        <f t="shared" si="17"/>
        <v>2065</v>
      </c>
      <c r="B58" s="236">
        <f t="shared" si="11"/>
        <v>263963.15692189813</v>
      </c>
      <c r="C58" s="236">
        <f t="shared" si="12"/>
        <v>5005.8658497223551</v>
      </c>
      <c r="D58" s="236">
        <f t="shared" si="13"/>
        <v>192148.23530857349</v>
      </c>
      <c r="E58" s="236">
        <f t="shared" si="14"/>
        <v>2329652.953140018</v>
      </c>
      <c r="F58" s="236">
        <f t="shared" si="15"/>
        <v>437628.19524688122</v>
      </c>
      <c r="G58" s="236">
        <f t="shared" si="16"/>
        <v>173087.438419246</v>
      </c>
      <c r="H58" s="270">
        <f t="shared" si="18"/>
        <v>3401485.8448863397</v>
      </c>
    </row>
    <row r="59" spans="1:8" x14ac:dyDescent="0.35">
      <c r="A59" s="271">
        <f t="shared" si="17"/>
        <v>2066</v>
      </c>
      <c r="B59" s="236">
        <f t="shared" si="11"/>
        <v>267922.6042757266</v>
      </c>
      <c r="C59" s="236">
        <f t="shared" si="12"/>
        <v>5080.9538374681897</v>
      </c>
      <c r="D59" s="236">
        <f t="shared" si="13"/>
        <v>195030.45883820209</v>
      </c>
      <c r="E59" s="236">
        <f t="shared" si="14"/>
        <v>2364597.7474371181</v>
      </c>
      <c r="F59" s="236">
        <f t="shared" si="15"/>
        <v>444192.61817558442</v>
      </c>
      <c r="G59" s="236">
        <f t="shared" si="16"/>
        <v>175683.74999553466</v>
      </c>
      <c r="H59" s="270">
        <f t="shared" si="18"/>
        <v>3452508.1325596338</v>
      </c>
    </row>
    <row r="60" spans="1:8" x14ac:dyDescent="0.35">
      <c r="A60" s="271">
        <f t="shared" si="17"/>
        <v>2067</v>
      </c>
      <c r="B60" s="236">
        <f t="shared" si="11"/>
        <v>271941.44333986245</v>
      </c>
      <c r="C60" s="236">
        <f t="shared" si="12"/>
        <v>5157.1681450302121</v>
      </c>
      <c r="D60" s="236">
        <f t="shared" si="13"/>
        <v>197955.91572077511</v>
      </c>
      <c r="E60" s="236">
        <f t="shared" si="14"/>
        <v>2400066.7136486745</v>
      </c>
      <c r="F60" s="236">
        <f t="shared" si="15"/>
        <v>450855.50744821812</v>
      </c>
      <c r="G60" s="236">
        <f t="shared" si="16"/>
        <v>178319.00624546767</v>
      </c>
      <c r="H60" s="270">
        <f t="shared" si="18"/>
        <v>3504295.7545480286</v>
      </c>
    </row>
    <row r="61" spans="1:8" x14ac:dyDescent="0.35">
      <c r="A61" s="271">
        <f t="shared" si="17"/>
        <v>2068</v>
      </c>
      <c r="B61" s="236">
        <f t="shared" si="11"/>
        <v>276020.56498996034</v>
      </c>
      <c r="C61" s="236">
        <f t="shared" si="12"/>
        <v>5234.5256672056648</v>
      </c>
      <c r="D61" s="236">
        <f t="shared" si="13"/>
        <v>200925.25445658673</v>
      </c>
      <c r="E61" s="236">
        <f t="shared" si="14"/>
        <v>2436067.7143534045</v>
      </c>
      <c r="F61" s="236">
        <f t="shared" si="15"/>
        <v>457618.34005994134</v>
      </c>
      <c r="G61" s="236">
        <f t="shared" si="16"/>
        <v>180993.79133914967</v>
      </c>
      <c r="H61" s="270">
        <f t="shared" si="18"/>
        <v>3556860.1908662482</v>
      </c>
    </row>
    <row r="62" spans="1:8" x14ac:dyDescent="0.35">
      <c r="A62" s="271">
        <f t="shared" si="17"/>
        <v>2069</v>
      </c>
      <c r="B62" s="236">
        <f t="shared" si="11"/>
        <v>280160.87346480973</v>
      </c>
      <c r="C62" s="236">
        <f t="shared" si="12"/>
        <v>5313.0435522137495</v>
      </c>
      <c r="D62" s="236">
        <f t="shared" si="13"/>
        <v>203939.13327343552</v>
      </c>
      <c r="E62" s="236">
        <f t="shared" si="14"/>
        <v>2472608.7300687055</v>
      </c>
      <c r="F62" s="236">
        <f t="shared" si="15"/>
        <v>464482.61516084045</v>
      </c>
      <c r="G62" s="236">
        <f t="shared" si="16"/>
        <v>183708.6982092369</v>
      </c>
      <c r="H62" s="270">
        <f t="shared" si="18"/>
        <v>3610213.0937292418</v>
      </c>
    </row>
    <row r="63" spans="1:8" ht="15" thickBot="1" x14ac:dyDescent="0.4">
      <c r="A63" s="272">
        <f t="shared" si="17"/>
        <v>2070</v>
      </c>
      <c r="B63" s="240">
        <f t="shared" si="11"/>
        <v>284363.28656678187</v>
      </c>
      <c r="C63" s="240">
        <f t="shared" si="12"/>
        <v>5392.739205496955</v>
      </c>
      <c r="D63" s="240">
        <f t="shared" si="13"/>
        <v>206998.22027253703</v>
      </c>
      <c r="E63" s="240">
        <f t="shared" si="14"/>
        <v>2509697.8610197357</v>
      </c>
      <c r="F63" s="240">
        <f t="shared" si="15"/>
        <v>471449.85438825301</v>
      </c>
      <c r="G63" s="240">
        <f t="shared" si="16"/>
        <v>186464.32868237543</v>
      </c>
      <c r="H63" s="273">
        <f t="shared" si="18"/>
        <v>3664366.2901351801</v>
      </c>
    </row>
  </sheetData>
  <sheetProtection algorithmName="SHA-512" hashValue="RB1lKNOQfkZRoLa4eX5maHH1oY4VTAI5nNNdx3y9wz4T3coN7FXJ9b2TAXoLHkx81ZGabiCNnDk2zcNBncoKTQ==" saltValue="q91iuO0H7YE0ikA+LnYWiA==" spinCount="100000" sheet="1" objects="1" scenarios="1"/>
  <mergeCells count="2">
    <mergeCell ref="A13:H13"/>
    <mergeCell ref="A3:H3"/>
  </mergeCells>
  <pageMargins left="0.7" right="0.7" top="0.78740157499999996" bottom="0.78740157499999996" header="0.3" footer="0.3"/>
  <pageSetup paperSize="9" orientation="portrait" verticalDpi="0" r:id="rId1"/>
  <headerFooter differentFirst="1">
    <oddHeader>&amp;R&amp;G</oddHeader>
    <firstHeader>&amp;R&amp;G</first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0"/>
  <sheetViews>
    <sheetView view="pageLayout" zoomScaleNormal="80" workbookViewId="0"/>
  </sheetViews>
  <sheetFormatPr baseColWidth="10" defaultColWidth="13.7265625" defaultRowHeight="14.5" x14ac:dyDescent="0.35"/>
  <cols>
    <col min="1" max="2" width="13.7265625" style="137"/>
    <col min="3" max="3" width="17.54296875" style="137" customWidth="1"/>
    <col min="4" max="4" width="13.7265625" style="137" customWidth="1"/>
    <col min="5" max="5" width="13.7265625" style="137"/>
    <col min="6" max="6" width="15.7265625" style="137" customWidth="1"/>
    <col min="7" max="7" width="15.453125" style="137" customWidth="1"/>
    <col min="8" max="8" width="17.81640625" style="137" customWidth="1"/>
    <col min="9" max="16384" width="13.7265625" style="137"/>
  </cols>
  <sheetData>
    <row r="1" spans="1:8" ht="21" x14ac:dyDescent="0.5">
      <c r="A1" s="64" t="s">
        <v>136</v>
      </c>
      <c r="F1" s="138"/>
      <c r="H1" s="138"/>
    </row>
    <row r="2" spans="1:8" ht="16" thickBot="1" x14ac:dyDescent="0.4">
      <c r="A2" s="139" t="s">
        <v>123</v>
      </c>
      <c r="E2" s="140" t="s">
        <v>25</v>
      </c>
      <c r="F2" s="141">
        <f>Kostenkalkulation!E18</f>
        <v>0.03</v>
      </c>
      <c r="G2" s="140" t="s">
        <v>161</v>
      </c>
      <c r="H2" s="140">
        <f>Kostenkalkulation!E19</f>
        <v>2020</v>
      </c>
    </row>
    <row r="3" spans="1:8" ht="15" thickBot="1" x14ac:dyDescent="0.4">
      <c r="A3" s="165" t="s">
        <v>5</v>
      </c>
      <c r="B3" s="211">
        <f>SUM(B5:B90)</f>
        <v>35230</v>
      </c>
      <c r="C3" s="146">
        <f>SUM(C5:C90)</f>
        <v>28970707</v>
      </c>
      <c r="D3" s="211"/>
      <c r="E3" s="211"/>
      <c r="F3" s="146">
        <f>SUM(F5:F90)</f>
        <v>121975.81995012653</v>
      </c>
      <c r="G3" s="211"/>
      <c r="H3" s="147">
        <f>SUM(H5:H90)</f>
        <v>7135015.9997715885</v>
      </c>
    </row>
    <row r="4" spans="1:8" ht="15" thickBot="1" x14ac:dyDescent="0.4">
      <c r="A4" s="217" t="s">
        <v>0</v>
      </c>
      <c r="B4" s="218" t="s">
        <v>6</v>
      </c>
      <c r="C4" s="218" t="s">
        <v>1</v>
      </c>
      <c r="D4" s="218" t="s">
        <v>7</v>
      </c>
      <c r="E4" s="218" t="s">
        <v>2</v>
      </c>
      <c r="F4" s="218" t="s">
        <v>145</v>
      </c>
      <c r="G4" s="218" t="s">
        <v>4</v>
      </c>
      <c r="H4" s="219" t="s">
        <v>146</v>
      </c>
    </row>
    <row r="5" spans="1:8" x14ac:dyDescent="0.35">
      <c r="A5" s="179">
        <f t="shared" ref="A5:A68" si="0">A6-1</f>
        <v>1935</v>
      </c>
      <c r="B5" s="220">
        <v>0</v>
      </c>
      <c r="C5" s="134">
        <v>0</v>
      </c>
      <c r="D5" s="155">
        <v>70</v>
      </c>
      <c r="E5" s="155">
        <f t="shared" ref="E5:E57" si="1">A5+D5</f>
        <v>2005</v>
      </c>
      <c r="F5" s="156">
        <f>C5*$F$2/(($F$2+1)*(($F$2+1)^D5-1))</f>
        <v>0</v>
      </c>
      <c r="G5" s="155">
        <f t="shared" ref="G5:G57" si="2">IF(($H$2-A5)&lt;D5,$H$2-A5,D5)</f>
        <v>70</v>
      </c>
      <c r="H5" s="158">
        <f>F5*($F$2+1)*((($F$2+1)^(G5)-1))/$F$2</f>
        <v>0</v>
      </c>
    </row>
    <row r="6" spans="1:8" x14ac:dyDescent="0.35">
      <c r="A6" s="179">
        <f t="shared" si="0"/>
        <v>1936</v>
      </c>
      <c r="B6" s="5">
        <v>0</v>
      </c>
      <c r="C6" s="134">
        <v>0</v>
      </c>
      <c r="D6" s="155">
        <v>70</v>
      </c>
      <c r="E6" s="155">
        <f t="shared" si="1"/>
        <v>2006</v>
      </c>
      <c r="F6" s="156">
        <f t="shared" ref="F6:F23" si="3">C6*$F$2/(($F$2+1)*(($F$2+1)^D6-1))</f>
        <v>0</v>
      </c>
      <c r="G6" s="155">
        <f t="shared" si="2"/>
        <v>70</v>
      </c>
      <c r="H6" s="158">
        <f t="shared" ref="H6:H22" si="4">F6*($F$2+1)*((($F$2+1)^(G6)-1))/$F$2</f>
        <v>0</v>
      </c>
    </row>
    <row r="7" spans="1:8" x14ac:dyDescent="0.35">
      <c r="A7" s="179">
        <f t="shared" si="0"/>
        <v>1937</v>
      </c>
      <c r="B7" s="5">
        <v>0</v>
      </c>
      <c r="C7" s="134">
        <v>0</v>
      </c>
      <c r="D7" s="155">
        <v>70</v>
      </c>
      <c r="E7" s="155">
        <f t="shared" si="1"/>
        <v>2007</v>
      </c>
      <c r="F7" s="156">
        <f t="shared" si="3"/>
        <v>0</v>
      </c>
      <c r="G7" s="155">
        <f t="shared" si="2"/>
        <v>70</v>
      </c>
      <c r="H7" s="158">
        <f t="shared" si="4"/>
        <v>0</v>
      </c>
    </row>
    <row r="8" spans="1:8" x14ac:dyDescent="0.35">
      <c r="A8" s="179">
        <f t="shared" si="0"/>
        <v>1938</v>
      </c>
      <c r="B8" s="5">
        <v>5</v>
      </c>
      <c r="C8" s="134">
        <v>3329</v>
      </c>
      <c r="D8" s="155">
        <v>70</v>
      </c>
      <c r="E8" s="155">
        <f t="shared" si="1"/>
        <v>2008</v>
      </c>
      <c r="F8" s="156">
        <f>C8*$F$2/(($F$2+1)*(($F$2+1)^D8-1))</f>
        <v>14.016140669745177</v>
      </c>
      <c r="G8" s="155">
        <f t="shared" si="2"/>
        <v>70</v>
      </c>
      <c r="H8" s="158">
        <f>F8*($F$2+1)*((($F$2+1)^(G8)-1))/$F$2</f>
        <v>3329</v>
      </c>
    </row>
    <row r="9" spans="1:8" x14ac:dyDescent="0.35">
      <c r="A9" s="179">
        <f t="shared" si="0"/>
        <v>1939</v>
      </c>
      <c r="B9" s="5">
        <v>0</v>
      </c>
      <c r="C9" s="134">
        <v>0</v>
      </c>
      <c r="D9" s="155">
        <v>70</v>
      </c>
      <c r="E9" s="155">
        <f t="shared" si="1"/>
        <v>2009</v>
      </c>
      <c r="F9" s="156">
        <f t="shared" si="3"/>
        <v>0</v>
      </c>
      <c r="G9" s="155">
        <f t="shared" si="2"/>
        <v>70</v>
      </c>
      <c r="H9" s="158">
        <f t="shared" si="4"/>
        <v>0</v>
      </c>
    </row>
    <row r="10" spans="1:8" x14ac:dyDescent="0.35">
      <c r="A10" s="179">
        <f t="shared" si="0"/>
        <v>1940</v>
      </c>
      <c r="B10" s="5">
        <v>0</v>
      </c>
      <c r="C10" s="134">
        <v>0</v>
      </c>
      <c r="D10" s="155">
        <v>70</v>
      </c>
      <c r="E10" s="155">
        <f t="shared" si="1"/>
        <v>2010</v>
      </c>
      <c r="F10" s="156">
        <f t="shared" si="3"/>
        <v>0</v>
      </c>
      <c r="G10" s="155">
        <f t="shared" si="2"/>
        <v>70</v>
      </c>
      <c r="H10" s="158">
        <f t="shared" si="4"/>
        <v>0</v>
      </c>
    </row>
    <row r="11" spans="1:8" x14ac:dyDescent="0.35">
      <c r="A11" s="179">
        <f t="shared" si="0"/>
        <v>1941</v>
      </c>
      <c r="B11" s="5">
        <v>202</v>
      </c>
      <c r="C11" s="134">
        <v>147580</v>
      </c>
      <c r="D11" s="155">
        <v>70</v>
      </c>
      <c r="E11" s="155">
        <f t="shared" si="1"/>
        <v>2011</v>
      </c>
      <c r="F11" s="156">
        <f t="shared" si="3"/>
        <v>621.35837790357255</v>
      </c>
      <c r="G11" s="155">
        <f t="shared" si="2"/>
        <v>70</v>
      </c>
      <c r="H11" s="158">
        <f>F11*($F$2+1)*((($F$2+1)^(G11)-1))/$F$2</f>
        <v>147579.99999999997</v>
      </c>
    </row>
    <row r="12" spans="1:8" x14ac:dyDescent="0.35">
      <c r="A12" s="179">
        <f t="shared" si="0"/>
        <v>1942</v>
      </c>
      <c r="B12" s="5">
        <v>0</v>
      </c>
      <c r="C12" s="134">
        <v>0</v>
      </c>
      <c r="D12" s="155">
        <v>70</v>
      </c>
      <c r="E12" s="155">
        <f t="shared" si="1"/>
        <v>2012</v>
      </c>
      <c r="F12" s="156">
        <f t="shared" si="3"/>
        <v>0</v>
      </c>
      <c r="G12" s="155">
        <f t="shared" si="2"/>
        <v>70</v>
      </c>
      <c r="H12" s="158">
        <f t="shared" si="4"/>
        <v>0</v>
      </c>
    </row>
    <row r="13" spans="1:8" x14ac:dyDescent="0.35">
      <c r="A13" s="179">
        <f t="shared" si="0"/>
        <v>1943</v>
      </c>
      <c r="B13" s="5">
        <v>0</v>
      </c>
      <c r="C13" s="134">
        <v>0</v>
      </c>
      <c r="D13" s="155">
        <v>70</v>
      </c>
      <c r="E13" s="155">
        <f t="shared" si="1"/>
        <v>2013</v>
      </c>
      <c r="F13" s="156">
        <f t="shared" si="3"/>
        <v>0</v>
      </c>
      <c r="G13" s="155">
        <f t="shared" si="2"/>
        <v>70</v>
      </c>
      <c r="H13" s="158">
        <f t="shared" si="4"/>
        <v>0</v>
      </c>
    </row>
    <row r="14" spans="1:8" x14ac:dyDescent="0.35">
      <c r="A14" s="179">
        <f t="shared" si="0"/>
        <v>1944</v>
      </c>
      <c r="B14" s="5">
        <v>0</v>
      </c>
      <c r="C14" s="134">
        <v>0</v>
      </c>
      <c r="D14" s="155">
        <v>70</v>
      </c>
      <c r="E14" s="155">
        <f t="shared" si="1"/>
        <v>2014</v>
      </c>
      <c r="F14" s="156">
        <f t="shared" si="3"/>
        <v>0</v>
      </c>
      <c r="G14" s="155">
        <f t="shared" si="2"/>
        <v>70</v>
      </c>
      <c r="H14" s="158">
        <f t="shared" si="4"/>
        <v>0</v>
      </c>
    </row>
    <row r="15" spans="1:8" x14ac:dyDescent="0.35">
      <c r="A15" s="179">
        <f t="shared" si="0"/>
        <v>1945</v>
      </c>
      <c r="B15" s="5">
        <v>0</v>
      </c>
      <c r="C15" s="134">
        <v>0</v>
      </c>
      <c r="D15" s="155">
        <v>70</v>
      </c>
      <c r="E15" s="155">
        <f t="shared" si="1"/>
        <v>2015</v>
      </c>
      <c r="F15" s="156">
        <f t="shared" si="3"/>
        <v>0</v>
      </c>
      <c r="G15" s="155">
        <f t="shared" si="2"/>
        <v>70</v>
      </c>
      <c r="H15" s="158">
        <f t="shared" si="4"/>
        <v>0</v>
      </c>
    </row>
    <row r="16" spans="1:8" x14ac:dyDescent="0.35">
      <c r="A16" s="179">
        <f t="shared" si="0"/>
        <v>1946</v>
      </c>
      <c r="B16" s="5">
        <v>0</v>
      </c>
      <c r="C16" s="134">
        <v>0</v>
      </c>
      <c r="D16" s="155">
        <v>70</v>
      </c>
      <c r="E16" s="155">
        <f t="shared" si="1"/>
        <v>2016</v>
      </c>
      <c r="F16" s="156">
        <f t="shared" si="3"/>
        <v>0</v>
      </c>
      <c r="G16" s="155">
        <f t="shared" si="2"/>
        <v>70</v>
      </c>
      <c r="H16" s="158">
        <f t="shared" si="4"/>
        <v>0</v>
      </c>
    </row>
    <row r="17" spans="1:8" x14ac:dyDescent="0.35">
      <c r="A17" s="179">
        <f t="shared" si="0"/>
        <v>1947</v>
      </c>
      <c r="B17" s="5">
        <v>0</v>
      </c>
      <c r="C17" s="134">
        <v>0</v>
      </c>
      <c r="D17" s="155">
        <v>70</v>
      </c>
      <c r="E17" s="155">
        <f t="shared" si="1"/>
        <v>2017</v>
      </c>
      <c r="F17" s="156">
        <f t="shared" si="3"/>
        <v>0</v>
      </c>
      <c r="G17" s="155">
        <f t="shared" si="2"/>
        <v>70</v>
      </c>
      <c r="H17" s="158">
        <f t="shared" si="4"/>
        <v>0</v>
      </c>
    </row>
    <row r="18" spans="1:8" x14ac:dyDescent="0.35">
      <c r="A18" s="179">
        <f t="shared" si="0"/>
        <v>1948</v>
      </c>
      <c r="B18" s="5">
        <v>0</v>
      </c>
      <c r="C18" s="134">
        <v>0</v>
      </c>
      <c r="D18" s="155">
        <v>70</v>
      </c>
      <c r="E18" s="155">
        <f t="shared" si="1"/>
        <v>2018</v>
      </c>
      <c r="F18" s="156">
        <f t="shared" si="3"/>
        <v>0</v>
      </c>
      <c r="G18" s="155">
        <f t="shared" si="2"/>
        <v>70</v>
      </c>
      <c r="H18" s="158">
        <f t="shared" si="4"/>
        <v>0</v>
      </c>
    </row>
    <row r="19" spans="1:8" x14ac:dyDescent="0.35">
      <c r="A19" s="179">
        <f t="shared" si="0"/>
        <v>1949</v>
      </c>
      <c r="B19" s="5">
        <v>0</v>
      </c>
      <c r="C19" s="134">
        <v>0</v>
      </c>
      <c r="D19" s="155">
        <v>70</v>
      </c>
      <c r="E19" s="155">
        <f t="shared" si="1"/>
        <v>2019</v>
      </c>
      <c r="F19" s="156">
        <f t="shared" si="3"/>
        <v>0</v>
      </c>
      <c r="G19" s="155">
        <f t="shared" si="2"/>
        <v>70</v>
      </c>
      <c r="H19" s="158">
        <f t="shared" si="4"/>
        <v>0</v>
      </c>
    </row>
    <row r="20" spans="1:8" x14ac:dyDescent="0.35">
      <c r="A20" s="179">
        <f t="shared" si="0"/>
        <v>1950</v>
      </c>
      <c r="B20" s="5">
        <v>7</v>
      </c>
      <c r="C20" s="134">
        <v>4410</v>
      </c>
      <c r="D20" s="155">
        <v>70</v>
      </c>
      <c r="E20" s="155">
        <f t="shared" si="1"/>
        <v>2020</v>
      </c>
      <c r="F20" s="156">
        <f>C20*$F$2/(($F$2+1)*(($F$2+1)^D20-1))</f>
        <v>18.567491845471981</v>
      </c>
      <c r="G20" s="155">
        <f t="shared" si="2"/>
        <v>70</v>
      </c>
      <c r="H20" s="158">
        <f>F20*($F$2+1)*((($F$2+1)^(G20)-1))/$F$2</f>
        <v>4410</v>
      </c>
    </row>
    <row r="21" spans="1:8" x14ac:dyDescent="0.35">
      <c r="A21" s="179">
        <f t="shared" si="0"/>
        <v>1951</v>
      </c>
      <c r="B21" s="5">
        <v>0</v>
      </c>
      <c r="C21" s="134">
        <v>0</v>
      </c>
      <c r="D21" s="155">
        <v>70</v>
      </c>
      <c r="E21" s="155">
        <f t="shared" si="1"/>
        <v>2021</v>
      </c>
      <c r="F21" s="156">
        <f t="shared" si="3"/>
        <v>0</v>
      </c>
      <c r="G21" s="155">
        <f t="shared" si="2"/>
        <v>69</v>
      </c>
      <c r="H21" s="158">
        <f t="shared" si="4"/>
        <v>0</v>
      </c>
    </row>
    <row r="22" spans="1:8" x14ac:dyDescent="0.35">
      <c r="A22" s="179">
        <f t="shared" si="0"/>
        <v>1952</v>
      </c>
      <c r="B22" s="5">
        <v>0</v>
      </c>
      <c r="C22" s="134">
        <v>0</v>
      </c>
      <c r="D22" s="155">
        <v>70</v>
      </c>
      <c r="E22" s="155">
        <f t="shared" si="1"/>
        <v>2022</v>
      </c>
      <c r="F22" s="156">
        <f t="shared" si="3"/>
        <v>0</v>
      </c>
      <c r="G22" s="155">
        <f t="shared" si="2"/>
        <v>68</v>
      </c>
      <c r="H22" s="158">
        <f t="shared" si="4"/>
        <v>0</v>
      </c>
    </row>
    <row r="23" spans="1:8" x14ac:dyDescent="0.35">
      <c r="A23" s="179">
        <f t="shared" si="0"/>
        <v>1953</v>
      </c>
      <c r="B23" s="5">
        <v>19</v>
      </c>
      <c r="C23" s="134">
        <v>12824</v>
      </c>
      <c r="D23" s="155">
        <v>70</v>
      </c>
      <c r="E23" s="155">
        <f t="shared" si="1"/>
        <v>2023</v>
      </c>
      <c r="F23" s="156">
        <f t="shared" si="3"/>
        <v>53.99308739826138</v>
      </c>
      <c r="G23" s="155">
        <f t="shared" si="2"/>
        <v>67</v>
      </c>
      <c r="H23" s="158">
        <f>F23*($F$2+1)*((($F$2+1)^(G23)-1))/$F$2</f>
        <v>11578.469415641359</v>
      </c>
    </row>
    <row r="24" spans="1:8" x14ac:dyDescent="0.35">
      <c r="A24" s="179">
        <f t="shared" si="0"/>
        <v>1954</v>
      </c>
      <c r="B24" s="5">
        <v>0</v>
      </c>
      <c r="C24" s="134">
        <v>0</v>
      </c>
      <c r="D24" s="155">
        <v>70</v>
      </c>
      <c r="E24" s="155">
        <f t="shared" si="1"/>
        <v>2024</v>
      </c>
      <c r="F24" s="156">
        <f t="shared" ref="F24:F57" si="5">C24*$F$2/(($F$2+1)*(($F$2+1)^D24-1))</f>
        <v>0</v>
      </c>
      <c r="G24" s="155">
        <f t="shared" ref="G24:G36" si="6">IF(($H$2-A24)&lt;D24,$H$2-A24,D24)</f>
        <v>66</v>
      </c>
      <c r="H24" s="158">
        <f t="shared" ref="H24:H57" si="7">F24*($F$2+1)*((($F$2+1)^(G24)-1))/$F$2</f>
        <v>0</v>
      </c>
    </row>
    <row r="25" spans="1:8" x14ac:dyDescent="0.35">
      <c r="A25" s="179">
        <f t="shared" si="0"/>
        <v>1955</v>
      </c>
      <c r="B25" s="5">
        <v>0</v>
      </c>
      <c r="C25" s="134">
        <v>0</v>
      </c>
      <c r="D25" s="155">
        <v>70</v>
      </c>
      <c r="E25" s="155">
        <f t="shared" si="1"/>
        <v>2025</v>
      </c>
      <c r="F25" s="156">
        <f t="shared" si="5"/>
        <v>0</v>
      </c>
      <c r="G25" s="155">
        <f t="shared" si="6"/>
        <v>65</v>
      </c>
      <c r="H25" s="158">
        <f t="shared" si="7"/>
        <v>0</v>
      </c>
    </row>
    <row r="26" spans="1:8" x14ac:dyDescent="0.35">
      <c r="A26" s="179">
        <f t="shared" si="0"/>
        <v>1956</v>
      </c>
      <c r="B26" s="5">
        <v>90</v>
      </c>
      <c r="C26" s="134">
        <v>147005</v>
      </c>
      <c r="D26" s="155">
        <v>70</v>
      </c>
      <c r="E26" s="155">
        <f t="shared" si="1"/>
        <v>2026</v>
      </c>
      <c r="F26" s="156">
        <f t="shared" si="5"/>
        <v>618.93744642712215</v>
      </c>
      <c r="G26" s="155">
        <f t="shared" si="6"/>
        <v>64</v>
      </c>
      <c r="H26" s="158">
        <f t="shared" si="7"/>
        <v>119660.88343552739</v>
      </c>
    </row>
    <row r="27" spans="1:8" x14ac:dyDescent="0.35">
      <c r="A27" s="179">
        <f t="shared" si="0"/>
        <v>1957</v>
      </c>
      <c r="B27" s="5">
        <v>25</v>
      </c>
      <c r="C27" s="134">
        <v>16371</v>
      </c>
      <c r="D27" s="155">
        <v>70</v>
      </c>
      <c r="E27" s="155">
        <f t="shared" si="1"/>
        <v>2027</v>
      </c>
      <c r="F27" s="156">
        <f t="shared" si="5"/>
        <v>68.927076871252112</v>
      </c>
      <c r="G27" s="155">
        <f t="shared" si="6"/>
        <v>63</v>
      </c>
      <c r="H27" s="158">
        <f t="shared" si="7"/>
        <v>12868.802884252314</v>
      </c>
    </row>
    <row r="28" spans="1:8" x14ac:dyDescent="0.35">
      <c r="A28" s="179">
        <f t="shared" si="0"/>
        <v>1958</v>
      </c>
      <c r="B28" s="5">
        <v>0</v>
      </c>
      <c r="C28" s="134">
        <v>0</v>
      </c>
      <c r="D28" s="155">
        <v>70</v>
      </c>
      <c r="E28" s="155">
        <f t="shared" si="1"/>
        <v>2028</v>
      </c>
      <c r="F28" s="156">
        <f t="shared" si="5"/>
        <v>0</v>
      </c>
      <c r="G28" s="155">
        <f t="shared" si="6"/>
        <v>62</v>
      </c>
      <c r="H28" s="158">
        <f t="shared" si="7"/>
        <v>0</v>
      </c>
    </row>
    <row r="29" spans="1:8" x14ac:dyDescent="0.35">
      <c r="A29" s="179">
        <f t="shared" si="0"/>
        <v>1959</v>
      </c>
      <c r="B29" s="5">
        <v>17</v>
      </c>
      <c r="C29" s="134">
        <v>10781</v>
      </c>
      <c r="D29" s="155">
        <v>70</v>
      </c>
      <c r="E29" s="155">
        <f t="shared" si="1"/>
        <v>2029</v>
      </c>
      <c r="F29" s="156">
        <f t="shared" si="5"/>
        <v>45.391412604542737</v>
      </c>
      <c r="G29" s="155">
        <f t="shared" si="6"/>
        <v>61</v>
      </c>
      <c r="H29" s="158">
        <f t="shared" si="7"/>
        <v>7898.7136342600097</v>
      </c>
    </row>
    <row r="30" spans="1:8" x14ac:dyDescent="0.35">
      <c r="A30" s="179">
        <f t="shared" si="0"/>
        <v>1960</v>
      </c>
      <c r="B30" s="5">
        <v>55</v>
      </c>
      <c r="C30" s="134">
        <v>40060</v>
      </c>
      <c r="D30" s="155">
        <v>70</v>
      </c>
      <c r="E30" s="155">
        <f t="shared" si="1"/>
        <v>2030</v>
      </c>
      <c r="F30" s="156">
        <f t="shared" si="5"/>
        <v>168.66524338539855</v>
      </c>
      <c r="G30" s="155">
        <f t="shared" si="6"/>
        <v>60</v>
      </c>
      <c r="H30" s="158">
        <f t="shared" si="7"/>
        <v>28326.491031043453</v>
      </c>
    </row>
    <row r="31" spans="1:8" x14ac:dyDescent="0.35">
      <c r="A31" s="179">
        <f t="shared" si="0"/>
        <v>1961</v>
      </c>
      <c r="B31" s="5">
        <v>35</v>
      </c>
      <c r="C31" s="134">
        <v>23034</v>
      </c>
      <c r="D31" s="155">
        <v>70</v>
      </c>
      <c r="E31" s="155">
        <f t="shared" si="1"/>
        <v>2031</v>
      </c>
      <c r="F31" s="156">
        <f t="shared" si="5"/>
        <v>96.980409788798568</v>
      </c>
      <c r="G31" s="155">
        <f t="shared" si="6"/>
        <v>59</v>
      </c>
      <c r="H31" s="158">
        <f t="shared" si="7"/>
        <v>15716.008708695006</v>
      </c>
    </row>
    <row r="32" spans="1:8" x14ac:dyDescent="0.35">
      <c r="A32" s="179">
        <f t="shared" si="0"/>
        <v>1962</v>
      </c>
      <c r="B32" s="5">
        <v>201</v>
      </c>
      <c r="C32" s="134">
        <v>135634</v>
      </c>
      <c r="D32" s="155">
        <v>70</v>
      </c>
      <c r="E32" s="155">
        <f t="shared" si="1"/>
        <v>2032</v>
      </c>
      <c r="F32" s="156">
        <f t="shared" si="5"/>
        <v>571.06194761196082</v>
      </c>
      <c r="G32" s="155">
        <f t="shared" si="6"/>
        <v>58</v>
      </c>
      <c r="H32" s="158">
        <f t="shared" si="7"/>
        <v>89276.075175776714</v>
      </c>
    </row>
    <row r="33" spans="1:8" x14ac:dyDescent="0.35">
      <c r="A33" s="179">
        <f t="shared" si="0"/>
        <v>1963</v>
      </c>
      <c r="B33" s="5">
        <v>32</v>
      </c>
      <c r="C33" s="134">
        <v>20684</v>
      </c>
      <c r="D33" s="155">
        <v>70</v>
      </c>
      <c r="E33" s="155">
        <f t="shared" si="1"/>
        <v>2033</v>
      </c>
      <c r="F33" s="156">
        <f t="shared" si="5"/>
        <v>87.086168102435934</v>
      </c>
      <c r="G33" s="155">
        <f t="shared" si="6"/>
        <v>57</v>
      </c>
      <c r="H33" s="158">
        <f t="shared" si="7"/>
        <v>13130.855283240311</v>
      </c>
    </row>
    <row r="34" spans="1:8" x14ac:dyDescent="0.35">
      <c r="A34" s="179">
        <f t="shared" si="0"/>
        <v>1964</v>
      </c>
      <c r="B34" s="5">
        <v>14</v>
      </c>
      <c r="C34" s="134">
        <v>9384</v>
      </c>
      <c r="D34" s="155">
        <v>70</v>
      </c>
      <c r="E34" s="155">
        <f t="shared" si="1"/>
        <v>2034</v>
      </c>
      <c r="F34" s="156">
        <f t="shared" si="5"/>
        <v>39.509601695670995</v>
      </c>
      <c r="G34" s="155">
        <f t="shared" si="6"/>
        <v>56</v>
      </c>
      <c r="H34" s="158">
        <f t="shared" si="7"/>
        <v>5744.2370388260142</v>
      </c>
    </row>
    <row r="35" spans="1:8" x14ac:dyDescent="0.35">
      <c r="A35" s="179">
        <f t="shared" si="0"/>
        <v>1965</v>
      </c>
      <c r="B35" s="5">
        <v>213</v>
      </c>
      <c r="C35" s="134">
        <v>145005</v>
      </c>
      <c r="D35" s="155">
        <v>70</v>
      </c>
      <c r="E35" s="155">
        <f t="shared" si="1"/>
        <v>2035</v>
      </c>
      <c r="F35" s="156">
        <f t="shared" si="5"/>
        <v>610.51681520468594</v>
      </c>
      <c r="G35" s="155">
        <f t="shared" si="6"/>
        <v>55</v>
      </c>
      <c r="H35" s="158">
        <f t="shared" si="7"/>
        <v>85566.232269683314</v>
      </c>
    </row>
    <row r="36" spans="1:8" x14ac:dyDescent="0.35">
      <c r="A36" s="179">
        <f t="shared" si="0"/>
        <v>1966</v>
      </c>
      <c r="B36" s="5">
        <v>41</v>
      </c>
      <c r="C36" s="134">
        <v>29082</v>
      </c>
      <c r="D36" s="155">
        <v>70</v>
      </c>
      <c r="E36" s="155">
        <f t="shared" si="1"/>
        <v>2036</v>
      </c>
      <c r="F36" s="156">
        <f t="shared" si="5"/>
        <v>122.44439860544584</v>
      </c>
      <c r="G36" s="155">
        <f t="shared" si="6"/>
        <v>54</v>
      </c>
      <c r="H36" s="158">
        <f t="shared" si="7"/>
        <v>16538.763245502771</v>
      </c>
    </row>
    <row r="37" spans="1:8" x14ac:dyDescent="0.35">
      <c r="A37" s="179">
        <f t="shared" si="0"/>
        <v>1967</v>
      </c>
      <c r="B37" s="5">
        <v>0</v>
      </c>
      <c r="C37" s="134">
        <v>0</v>
      </c>
      <c r="D37" s="155">
        <v>70</v>
      </c>
      <c r="E37" s="155">
        <f t="shared" si="1"/>
        <v>2037</v>
      </c>
      <c r="F37" s="156">
        <f t="shared" si="5"/>
        <v>0</v>
      </c>
      <c r="G37" s="155">
        <f t="shared" si="2"/>
        <v>53</v>
      </c>
      <c r="H37" s="158">
        <f t="shared" si="7"/>
        <v>0</v>
      </c>
    </row>
    <row r="38" spans="1:8" x14ac:dyDescent="0.35">
      <c r="A38" s="179">
        <f t="shared" si="0"/>
        <v>1968</v>
      </c>
      <c r="B38" s="5">
        <v>0</v>
      </c>
      <c r="C38" s="134">
        <v>0</v>
      </c>
      <c r="D38" s="155">
        <v>70</v>
      </c>
      <c r="E38" s="155">
        <f t="shared" si="1"/>
        <v>2038</v>
      </c>
      <c r="F38" s="156">
        <f t="shared" si="5"/>
        <v>0</v>
      </c>
      <c r="G38" s="155">
        <f t="shared" si="2"/>
        <v>52</v>
      </c>
      <c r="H38" s="158">
        <f t="shared" si="7"/>
        <v>0</v>
      </c>
    </row>
    <row r="39" spans="1:8" x14ac:dyDescent="0.35">
      <c r="A39" s="179">
        <f t="shared" si="0"/>
        <v>1969</v>
      </c>
      <c r="B39" s="5">
        <v>63</v>
      </c>
      <c r="C39" s="134">
        <v>42699</v>
      </c>
      <c r="D39" s="155">
        <v>70</v>
      </c>
      <c r="E39" s="155">
        <f t="shared" si="1"/>
        <v>2039</v>
      </c>
      <c r="F39" s="156">
        <f t="shared" si="5"/>
        <v>179.77626628340323</v>
      </c>
      <c r="G39" s="155">
        <f t="shared" si="2"/>
        <v>51</v>
      </c>
      <c r="H39" s="158">
        <f t="shared" si="7"/>
        <v>21698.311562854215</v>
      </c>
    </row>
    <row r="40" spans="1:8" x14ac:dyDescent="0.35">
      <c r="A40" s="179">
        <f t="shared" si="0"/>
        <v>1970</v>
      </c>
      <c r="B40" s="5">
        <v>9</v>
      </c>
      <c r="C40" s="134">
        <v>6091</v>
      </c>
      <c r="D40" s="155">
        <v>70</v>
      </c>
      <c r="E40" s="155">
        <f t="shared" si="1"/>
        <v>2040</v>
      </c>
      <c r="F40" s="156">
        <f t="shared" si="5"/>
        <v>25.645032387929671</v>
      </c>
      <c r="G40" s="155">
        <f t="shared" si="2"/>
        <v>50</v>
      </c>
      <c r="H40" s="158">
        <f t="shared" si="7"/>
        <v>2979.4596943625661</v>
      </c>
    </row>
    <row r="41" spans="1:8" x14ac:dyDescent="0.35">
      <c r="A41" s="179">
        <f t="shared" si="0"/>
        <v>1971</v>
      </c>
      <c r="B41" s="5">
        <v>190</v>
      </c>
      <c r="C41" s="134">
        <v>130162</v>
      </c>
      <c r="D41" s="155">
        <v>70</v>
      </c>
      <c r="E41" s="155">
        <f t="shared" si="1"/>
        <v>2041</v>
      </c>
      <c r="F41" s="156">
        <f t="shared" si="5"/>
        <v>548.0231005873751</v>
      </c>
      <c r="G41" s="155">
        <f t="shared" si="2"/>
        <v>49</v>
      </c>
      <c r="H41" s="158">
        <f t="shared" si="7"/>
        <v>61267.265848350537</v>
      </c>
    </row>
    <row r="42" spans="1:8" x14ac:dyDescent="0.35">
      <c r="A42" s="179">
        <f t="shared" si="0"/>
        <v>1972</v>
      </c>
      <c r="B42" s="5">
        <v>0</v>
      </c>
      <c r="C42" s="134">
        <v>0</v>
      </c>
      <c r="D42" s="155">
        <v>70</v>
      </c>
      <c r="E42" s="155">
        <f t="shared" si="1"/>
        <v>2042</v>
      </c>
      <c r="F42" s="156">
        <f t="shared" si="5"/>
        <v>0</v>
      </c>
      <c r="G42" s="155">
        <f t="shared" si="2"/>
        <v>48</v>
      </c>
      <c r="H42" s="158">
        <f t="shared" si="7"/>
        <v>0</v>
      </c>
    </row>
    <row r="43" spans="1:8" x14ac:dyDescent="0.35">
      <c r="A43" s="179">
        <f t="shared" si="0"/>
        <v>1973</v>
      </c>
      <c r="B43" s="5">
        <v>168</v>
      </c>
      <c r="C43" s="134">
        <v>113063</v>
      </c>
      <c r="D43" s="155">
        <v>70</v>
      </c>
      <c r="E43" s="155">
        <f t="shared" si="1"/>
        <v>2043</v>
      </c>
      <c r="F43" s="156">
        <f t="shared" si="5"/>
        <v>476.03091395115621</v>
      </c>
      <c r="G43" s="155">
        <f t="shared" si="2"/>
        <v>47</v>
      </c>
      <c r="H43" s="158">
        <f t="shared" si="7"/>
        <v>49225.593246363285</v>
      </c>
    </row>
    <row r="44" spans="1:8" x14ac:dyDescent="0.35">
      <c r="A44" s="179">
        <f t="shared" si="0"/>
        <v>1974</v>
      </c>
      <c r="B44" s="5">
        <v>518</v>
      </c>
      <c r="C44" s="134">
        <v>374015</v>
      </c>
      <c r="D44" s="155">
        <v>70</v>
      </c>
      <c r="E44" s="155">
        <f t="shared" si="1"/>
        <v>2044</v>
      </c>
      <c r="F44" s="156">
        <f t="shared" si="5"/>
        <v>1574.7211933297513</v>
      </c>
      <c r="G44" s="155">
        <f t="shared" si="2"/>
        <v>46</v>
      </c>
      <c r="H44" s="158">
        <f t="shared" si="7"/>
        <v>156521.77658395169</v>
      </c>
    </row>
    <row r="45" spans="1:8" x14ac:dyDescent="0.35">
      <c r="A45" s="179">
        <f t="shared" si="0"/>
        <v>1975</v>
      </c>
      <c r="B45" s="5">
        <v>1926</v>
      </c>
      <c r="C45" s="134">
        <v>1721771</v>
      </c>
      <c r="D45" s="155">
        <v>70</v>
      </c>
      <c r="E45" s="155">
        <f t="shared" si="1"/>
        <v>2045</v>
      </c>
      <c r="F45" s="156">
        <f t="shared" si="5"/>
        <v>7249.199320242662</v>
      </c>
      <c r="G45" s="155">
        <f t="shared" si="2"/>
        <v>45</v>
      </c>
      <c r="H45" s="158">
        <f t="shared" si="7"/>
        <v>692309.0988341124</v>
      </c>
    </row>
    <row r="46" spans="1:8" x14ac:dyDescent="0.35">
      <c r="A46" s="179">
        <f t="shared" si="0"/>
        <v>1976</v>
      </c>
      <c r="B46" s="5">
        <v>1004</v>
      </c>
      <c r="C46" s="134">
        <v>1246165</v>
      </c>
      <c r="D46" s="155">
        <v>70</v>
      </c>
      <c r="E46" s="155">
        <f t="shared" si="1"/>
        <v>2046</v>
      </c>
      <c r="F46" s="156">
        <f t="shared" si="5"/>
        <v>5246.7479536536493</v>
      </c>
      <c r="G46" s="155">
        <f t="shared" si="2"/>
        <v>44</v>
      </c>
      <c r="H46" s="158">
        <f t="shared" si="7"/>
        <v>481230.9950488687</v>
      </c>
    </row>
    <row r="47" spans="1:8" x14ac:dyDescent="0.35">
      <c r="A47" s="179">
        <f t="shared" si="0"/>
        <v>1977</v>
      </c>
      <c r="B47" s="5">
        <v>169</v>
      </c>
      <c r="C47" s="134">
        <v>150743</v>
      </c>
      <c r="D47" s="155">
        <v>70</v>
      </c>
      <c r="E47" s="155">
        <f t="shared" si="1"/>
        <v>2047</v>
      </c>
      <c r="F47" s="156">
        <f t="shared" si="5"/>
        <v>634.67560618185564</v>
      </c>
      <c r="G47" s="155">
        <f t="shared" si="2"/>
        <v>43</v>
      </c>
      <c r="H47" s="158">
        <f t="shared" si="7"/>
        <v>55882.177428366304</v>
      </c>
    </row>
    <row r="48" spans="1:8" x14ac:dyDescent="0.35">
      <c r="A48" s="179">
        <f t="shared" si="0"/>
        <v>1978</v>
      </c>
      <c r="B48" s="5">
        <v>87</v>
      </c>
      <c r="C48" s="134">
        <v>60157</v>
      </c>
      <c r="D48" s="155">
        <v>70</v>
      </c>
      <c r="E48" s="155">
        <f t="shared" si="1"/>
        <v>2048</v>
      </c>
      <c r="F48" s="156">
        <f t="shared" si="5"/>
        <v>253.27995622404947</v>
      </c>
      <c r="G48" s="155">
        <f t="shared" si="2"/>
        <v>42</v>
      </c>
      <c r="H48" s="158">
        <f t="shared" si="7"/>
        <v>21398.076554675659</v>
      </c>
    </row>
    <row r="49" spans="1:8" x14ac:dyDescent="0.35">
      <c r="A49" s="179">
        <f t="shared" si="0"/>
        <v>1979</v>
      </c>
      <c r="B49" s="5">
        <v>680</v>
      </c>
      <c r="C49" s="134">
        <v>460761</v>
      </c>
      <c r="D49" s="155">
        <v>70</v>
      </c>
      <c r="E49" s="155">
        <f t="shared" si="1"/>
        <v>2049</v>
      </c>
      <c r="F49" s="156">
        <f t="shared" si="5"/>
        <v>1939.9492313404799</v>
      </c>
      <c r="G49" s="155">
        <f t="shared" si="2"/>
        <v>41</v>
      </c>
      <c r="H49" s="158">
        <f t="shared" si="7"/>
        <v>157180.88767598357</v>
      </c>
    </row>
    <row r="50" spans="1:8" x14ac:dyDescent="0.35">
      <c r="A50" s="179">
        <f t="shared" si="0"/>
        <v>1980</v>
      </c>
      <c r="B50" s="5">
        <v>484</v>
      </c>
      <c r="C50" s="134">
        <v>335836</v>
      </c>
      <c r="D50" s="155">
        <v>70</v>
      </c>
      <c r="E50" s="155">
        <f t="shared" si="1"/>
        <v>2050</v>
      </c>
      <c r="F50" s="156">
        <f t="shared" si="5"/>
        <v>1413.9755536090543</v>
      </c>
      <c r="G50" s="155">
        <f t="shared" si="2"/>
        <v>40</v>
      </c>
      <c r="H50" s="158">
        <f t="shared" si="7"/>
        <v>109814.00411344285</v>
      </c>
    </row>
    <row r="51" spans="1:8" x14ac:dyDescent="0.35">
      <c r="A51" s="179">
        <f t="shared" si="0"/>
        <v>1981</v>
      </c>
      <c r="B51" s="5">
        <v>1356</v>
      </c>
      <c r="C51" s="134">
        <v>1299521</v>
      </c>
      <c r="D51" s="155">
        <v>70</v>
      </c>
      <c r="E51" s="155">
        <f t="shared" si="1"/>
        <v>2051</v>
      </c>
      <c r="F51" s="156">
        <f t="shared" si="5"/>
        <v>5471.3935534058037</v>
      </c>
      <c r="G51" s="155">
        <f t="shared" si="2"/>
        <v>39</v>
      </c>
      <c r="H51" s="158">
        <f t="shared" si="7"/>
        <v>407078.57287006167</v>
      </c>
    </row>
    <row r="52" spans="1:8" x14ac:dyDescent="0.35">
      <c r="A52" s="179">
        <f t="shared" si="0"/>
        <v>1982</v>
      </c>
      <c r="B52" s="5">
        <v>4568</v>
      </c>
      <c r="C52" s="134">
        <v>5565511</v>
      </c>
      <c r="D52" s="155">
        <v>70</v>
      </c>
      <c r="E52" s="155">
        <f t="shared" si="1"/>
        <v>2052</v>
      </c>
      <c r="F52" s="156">
        <f t="shared" si="5"/>
        <v>23432.557847706263</v>
      </c>
      <c r="G52" s="155">
        <f t="shared" si="2"/>
        <v>38</v>
      </c>
      <c r="H52" s="158">
        <f t="shared" si="7"/>
        <v>1669200.2796696017</v>
      </c>
    </row>
    <row r="53" spans="1:8" x14ac:dyDescent="0.35">
      <c r="A53" s="179">
        <f t="shared" si="0"/>
        <v>1983</v>
      </c>
      <c r="B53" s="5">
        <v>1404</v>
      </c>
      <c r="C53" s="134">
        <v>1516760</v>
      </c>
      <c r="D53" s="155">
        <v>70</v>
      </c>
      <c r="E53" s="155">
        <f t="shared" si="1"/>
        <v>2053</v>
      </c>
      <c r="F53" s="156">
        <f t="shared" si="5"/>
        <v>6386.0383064712205</v>
      </c>
      <c r="G53" s="155">
        <f t="shared" si="2"/>
        <v>37</v>
      </c>
      <c r="H53" s="158">
        <f t="shared" si="7"/>
        <v>435268.85400281195</v>
      </c>
    </row>
    <row r="54" spans="1:8" x14ac:dyDescent="0.35">
      <c r="A54" s="179">
        <f t="shared" si="0"/>
        <v>1984</v>
      </c>
      <c r="B54" s="5">
        <v>634</v>
      </c>
      <c r="C54" s="134">
        <v>565742</v>
      </c>
      <c r="D54" s="155">
        <v>70</v>
      </c>
      <c r="E54" s="155">
        <f t="shared" si="1"/>
        <v>2054</v>
      </c>
      <c r="F54" s="156">
        <f t="shared" si="5"/>
        <v>2381.9523745217712</v>
      </c>
      <c r="G54" s="155">
        <f t="shared" si="2"/>
        <v>36</v>
      </c>
      <c r="H54" s="158">
        <f t="shared" si="7"/>
        <v>155241.89426719496</v>
      </c>
    </row>
    <row r="55" spans="1:8" x14ac:dyDescent="0.35">
      <c r="A55" s="179">
        <f t="shared" si="0"/>
        <v>1985</v>
      </c>
      <c r="B55" s="5">
        <v>548</v>
      </c>
      <c r="C55" s="134">
        <v>412224</v>
      </c>
      <c r="D55" s="155">
        <v>70</v>
      </c>
      <c r="E55" s="155">
        <f t="shared" si="1"/>
        <v>2055</v>
      </c>
      <c r="F55" s="156">
        <f t="shared" si="5"/>
        <v>1735.5931425187853</v>
      </c>
      <c r="G55" s="155">
        <f t="shared" si="2"/>
        <v>35</v>
      </c>
      <c r="H55" s="158">
        <f t="shared" si="7"/>
        <v>108085.70181326309</v>
      </c>
    </row>
    <row r="56" spans="1:8" x14ac:dyDescent="0.35">
      <c r="A56" s="179">
        <f t="shared" si="0"/>
        <v>1986</v>
      </c>
      <c r="B56" s="5">
        <v>731</v>
      </c>
      <c r="C56" s="134">
        <v>86423</v>
      </c>
      <c r="D56" s="155">
        <v>70</v>
      </c>
      <c r="E56" s="155">
        <f t="shared" si="1"/>
        <v>2056</v>
      </c>
      <c r="F56" s="156">
        <f t="shared" si="5"/>
        <v>363.86810606830505</v>
      </c>
      <c r="G56" s="155">
        <f t="shared" si="2"/>
        <v>34</v>
      </c>
      <c r="H56" s="158">
        <f t="shared" si="7"/>
        <v>21636.355091950802</v>
      </c>
    </row>
    <row r="57" spans="1:8" x14ac:dyDescent="0.35">
      <c r="A57" s="179">
        <f t="shared" si="0"/>
        <v>1987</v>
      </c>
      <c r="B57" s="5">
        <v>330</v>
      </c>
      <c r="C57" s="134">
        <v>556185</v>
      </c>
      <c r="D57" s="155">
        <v>70</v>
      </c>
      <c r="E57" s="155">
        <f t="shared" si="1"/>
        <v>2057</v>
      </c>
      <c r="F57" s="156">
        <f t="shared" si="5"/>
        <v>2341.7143882253595</v>
      </c>
      <c r="G57" s="155">
        <f t="shared" si="2"/>
        <v>33</v>
      </c>
      <c r="H57" s="158">
        <f t="shared" si="7"/>
        <v>132845.87059613704</v>
      </c>
    </row>
    <row r="58" spans="1:8" x14ac:dyDescent="0.35">
      <c r="A58" s="179">
        <f t="shared" si="0"/>
        <v>1988</v>
      </c>
      <c r="B58" s="5">
        <v>74</v>
      </c>
      <c r="C58" s="134">
        <v>58466</v>
      </c>
      <c r="D58" s="155">
        <v>70</v>
      </c>
      <c r="E58" s="155">
        <f t="shared" ref="E58:E65" si="8">A58+D58</f>
        <v>2058</v>
      </c>
      <c r="F58" s="156">
        <f t="shared" ref="F58:F65" si="9">C58*$F$2/(($F$2+1)*(($F$2+1)^D58-1))</f>
        <v>246.16031252547958</v>
      </c>
      <c r="G58" s="155">
        <f t="shared" ref="G58:G65" si="10">IF(($H$2-A58)&lt;D58,$H$2-A58,D58)</f>
        <v>32</v>
      </c>
      <c r="H58" s="158">
        <f t="shared" ref="H58:H65" si="11">F58*($F$2+1)*((($F$2+1)^(G58)-1))/$F$2</f>
        <v>13311.818309824277</v>
      </c>
    </row>
    <row r="59" spans="1:8" x14ac:dyDescent="0.35">
      <c r="A59" s="179">
        <f t="shared" si="0"/>
        <v>1989</v>
      </c>
      <c r="B59" s="5">
        <v>50</v>
      </c>
      <c r="C59" s="134">
        <v>32449</v>
      </c>
      <c r="D59" s="155">
        <v>70</v>
      </c>
      <c r="E59" s="155">
        <f t="shared" si="8"/>
        <v>2059</v>
      </c>
      <c r="F59" s="156">
        <f t="shared" si="9"/>
        <v>136.62053126841732</v>
      </c>
      <c r="G59" s="155">
        <f t="shared" si="10"/>
        <v>31</v>
      </c>
      <c r="H59" s="158">
        <f t="shared" si="11"/>
        <v>7036.3342311789984</v>
      </c>
    </row>
    <row r="60" spans="1:8" x14ac:dyDescent="0.35">
      <c r="A60" s="179">
        <f t="shared" si="0"/>
        <v>1990</v>
      </c>
      <c r="B60" s="5">
        <v>2697</v>
      </c>
      <c r="C60" s="134">
        <v>2688036</v>
      </c>
      <c r="D60" s="155">
        <v>70</v>
      </c>
      <c r="E60" s="155">
        <f t="shared" si="8"/>
        <v>2060</v>
      </c>
      <c r="F60" s="156">
        <f t="shared" si="9"/>
        <v>11317.479934316356</v>
      </c>
      <c r="G60" s="155">
        <f t="shared" si="10"/>
        <v>30</v>
      </c>
      <c r="H60" s="158">
        <f t="shared" si="11"/>
        <v>554586.82700174989</v>
      </c>
    </row>
    <row r="61" spans="1:8" x14ac:dyDescent="0.35">
      <c r="A61" s="179">
        <f t="shared" si="0"/>
        <v>1991</v>
      </c>
      <c r="B61" s="5">
        <v>0</v>
      </c>
      <c r="C61" s="134">
        <v>0</v>
      </c>
      <c r="D61" s="155">
        <v>70</v>
      </c>
      <c r="E61" s="155">
        <f t="shared" si="8"/>
        <v>2061</v>
      </c>
      <c r="F61" s="156">
        <f t="shared" si="9"/>
        <v>0</v>
      </c>
      <c r="G61" s="155">
        <f t="shared" si="10"/>
        <v>29</v>
      </c>
      <c r="H61" s="158">
        <f t="shared" si="11"/>
        <v>0</v>
      </c>
    </row>
    <row r="62" spans="1:8" x14ac:dyDescent="0.35">
      <c r="A62" s="179">
        <f t="shared" si="0"/>
        <v>1992</v>
      </c>
      <c r="B62" s="5">
        <v>100</v>
      </c>
      <c r="C62" s="134">
        <v>65758</v>
      </c>
      <c r="D62" s="155">
        <v>70</v>
      </c>
      <c r="E62" s="155">
        <f t="shared" si="8"/>
        <v>2062</v>
      </c>
      <c r="F62" s="156">
        <f t="shared" si="9"/>
        <v>276.86193396248223</v>
      </c>
      <c r="G62" s="155">
        <f t="shared" si="10"/>
        <v>28</v>
      </c>
      <c r="H62" s="158">
        <f t="shared" si="11"/>
        <v>12242.516384055842</v>
      </c>
    </row>
    <row r="63" spans="1:8" x14ac:dyDescent="0.35">
      <c r="A63" s="179">
        <f t="shared" si="0"/>
        <v>1993</v>
      </c>
      <c r="B63" s="5">
        <v>32</v>
      </c>
      <c r="C63" s="134">
        <v>21923</v>
      </c>
      <c r="D63" s="155">
        <v>70</v>
      </c>
      <c r="E63" s="155">
        <f t="shared" si="8"/>
        <v>2063</v>
      </c>
      <c r="F63" s="156">
        <f t="shared" si="9"/>
        <v>92.302749144735202</v>
      </c>
      <c r="G63" s="155">
        <f t="shared" si="10"/>
        <v>27</v>
      </c>
      <c r="H63" s="158">
        <f t="shared" si="11"/>
        <v>3870.3394231932043</v>
      </c>
    </row>
    <row r="64" spans="1:8" x14ac:dyDescent="0.35">
      <c r="A64" s="179">
        <f t="shared" si="0"/>
        <v>1994</v>
      </c>
      <c r="B64" s="5">
        <v>1309</v>
      </c>
      <c r="C64" s="134">
        <v>859377</v>
      </c>
      <c r="D64" s="155">
        <v>70</v>
      </c>
      <c r="E64" s="155">
        <f t="shared" si="8"/>
        <v>2064</v>
      </c>
      <c r="F64" s="156">
        <f t="shared" si="9"/>
        <v>3618.2483990218084</v>
      </c>
      <c r="G64" s="155">
        <f t="shared" si="10"/>
        <v>26</v>
      </c>
      <c r="H64" s="158">
        <f t="shared" si="11"/>
        <v>143679.31790588328</v>
      </c>
    </row>
    <row r="65" spans="1:8" x14ac:dyDescent="0.35">
      <c r="A65" s="179">
        <f t="shared" si="0"/>
        <v>1995</v>
      </c>
      <c r="B65" s="5">
        <v>527</v>
      </c>
      <c r="C65" s="134">
        <v>255159</v>
      </c>
      <c r="D65" s="155">
        <v>70</v>
      </c>
      <c r="E65" s="155">
        <f t="shared" si="8"/>
        <v>2065</v>
      </c>
      <c r="F65" s="156">
        <f t="shared" si="9"/>
        <v>1074.2999210428086</v>
      </c>
      <c r="G65" s="155">
        <f t="shared" si="10"/>
        <v>25</v>
      </c>
      <c r="H65" s="158">
        <f t="shared" si="11"/>
        <v>40343.230325662182</v>
      </c>
    </row>
    <row r="66" spans="1:8" x14ac:dyDescent="0.35">
      <c r="A66" s="179">
        <f t="shared" si="0"/>
        <v>1996</v>
      </c>
      <c r="B66" s="5">
        <v>2415</v>
      </c>
      <c r="C66" s="134">
        <v>1246780</v>
      </c>
      <c r="D66" s="155">
        <v>70</v>
      </c>
      <c r="E66" s="155">
        <f t="shared" ref="E66:E90" si="12">A66+D66</f>
        <v>2066</v>
      </c>
      <c r="F66" s="156">
        <f t="shared" ref="F66:F90" si="13">C66*$F$2/(($F$2+1)*(($F$2+1)^D66-1))</f>
        <v>5249.3372977545487</v>
      </c>
      <c r="G66" s="155">
        <f t="shared" ref="G66:G90" si="14">IF(($H$2-A66)&lt;D66,$H$2-A66,D66)</f>
        <v>24</v>
      </c>
      <c r="H66" s="158">
        <f t="shared" ref="H66:H90" si="15">F66*($F$2+1)*((($F$2+1)^(G66)-1))/$F$2</f>
        <v>186137.63875539933</v>
      </c>
    </row>
    <row r="67" spans="1:8" x14ac:dyDescent="0.35">
      <c r="A67" s="179">
        <f t="shared" si="0"/>
        <v>1997</v>
      </c>
      <c r="B67" s="5">
        <v>5220</v>
      </c>
      <c r="C67" s="134">
        <v>3481833</v>
      </c>
      <c r="D67" s="155">
        <v>70</v>
      </c>
      <c r="E67" s="155">
        <f t="shared" si="12"/>
        <v>2067</v>
      </c>
      <c r="F67" s="156">
        <f t="shared" si="13"/>
        <v>14659.615835554478</v>
      </c>
      <c r="G67" s="155">
        <f t="shared" si="14"/>
        <v>23</v>
      </c>
      <c r="H67" s="158">
        <f t="shared" si="15"/>
        <v>490019.21209558717</v>
      </c>
    </row>
    <row r="68" spans="1:8" x14ac:dyDescent="0.35">
      <c r="A68" s="179">
        <f t="shared" si="0"/>
        <v>1998</v>
      </c>
      <c r="B68" s="5">
        <v>892</v>
      </c>
      <c r="C68" s="134">
        <v>622089</v>
      </c>
      <c r="D68" s="155">
        <v>70</v>
      </c>
      <c r="E68" s="155">
        <f t="shared" si="12"/>
        <v>2068</v>
      </c>
      <c r="F68" s="156">
        <f t="shared" si="13"/>
        <v>2619.1910282670792</v>
      </c>
      <c r="G68" s="155">
        <f t="shared" si="14"/>
        <v>22</v>
      </c>
      <c r="H68" s="158">
        <f t="shared" si="15"/>
        <v>82381.11081122118</v>
      </c>
    </row>
    <row r="69" spans="1:8" x14ac:dyDescent="0.35">
      <c r="A69" s="179">
        <f t="shared" ref="A69:A88" si="16">A70-1</f>
        <v>1999</v>
      </c>
      <c r="B69" s="5">
        <v>265</v>
      </c>
      <c r="C69" s="134">
        <v>178683</v>
      </c>
      <c r="D69" s="155">
        <v>70</v>
      </c>
      <c r="E69" s="155">
        <f t="shared" si="12"/>
        <v>2069</v>
      </c>
      <c r="F69" s="156">
        <f t="shared" si="13"/>
        <v>752.31182435929031</v>
      </c>
      <c r="G69" s="155">
        <f t="shared" si="14"/>
        <v>21</v>
      </c>
      <c r="H69" s="158">
        <f t="shared" si="15"/>
        <v>22220.869069701326</v>
      </c>
    </row>
    <row r="70" spans="1:8" x14ac:dyDescent="0.35">
      <c r="A70" s="179">
        <f t="shared" si="16"/>
        <v>2000</v>
      </c>
      <c r="B70" s="5">
        <v>820</v>
      </c>
      <c r="C70" s="134">
        <v>565539</v>
      </c>
      <c r="D70" s="155">
        <v>70</v>
      </c>
      <c r="E70" s="155">
        <f t="shared" si="12"/>
        <v>2070</v>
      </c>
      <c r="F70" s="156">
        <f t="shared" si="13"/>
        <v>2381.0976804526936</v>
      </c>
      <c r="G70" s="155">
        <f t="shared" si="14"/>
        <v>20</v>
      </c>
      <c r="H70" s="158">
        <f t="shared" si="15"/>
        <v>65900.415959664766</v>
      </c>
    </row>
    <row r="71" spans="1:8" x14ac:dyDescent="0.35">
      <c r="A71" s="179">
        <f t="shared" si="16"/>
        <v>2001</v>
      </c>
      <c r="B71" s="5">
        <v>316</v>
      </c>
      <c r="C71" s="134">
        <v>212131</v>
      </c>
      <c r="D71" s="155">
        <v>70</v>
      </c>
      <c r="E71" s="155">
        <f t="shared" si="12"/>
        <v>2071</v>
      </c>
      <c r="F71" s="156">
        <f t="shared" si="13"/>
        <v>893.13846092331448</v>
      </c>
      <c r="G71" s="155">
        <f t="shared" si="14"/>
        <v>19</v>
      </c>
      <c r="H71" s="158">
        <f t="shared" si="15"/>
        <v>23105.826454597773</v>
      </c>
    </row>
    <row r="72" spans="1:8" x14ac:dyDescent="0.35">
      <c r="A72" s="179">
        <f t="shared" si="16"/>
        <v>2002</v>
      </c>
      <c r="B72" s="5">
        <v>258</v>
      </c>
      <c r="C72" s="134">
        <v>177887</v>
      </c>
      <c r="D72" s="155">
        <v>70</v>
      </c>
      <c r="E72" s="155">
        <f t="shared" si="12"/>
        <v>2072</v>
      </c>
      <c r="F72" s="156">
        <f t="shared" si="13"/>
        <v>748.96041313276066</v>
      </c>
      <c r="G72" s="155">
        <f t="shared" si="14"/>
        <v>18</v>
      </c>
      <c r="H72" s="158">
        <f t="shared" si="15"/>
        <v>18062.579747222608</v>
      </c>
    </row>
    <row r="73" spans="1:8" x14ac:dyDescent="0.35">
      <c r="A73" s="179">
        <f t="shared" si="16"/>
        <v>2003</v>
      </c>
      <c r="B73" s="5">
        <v>69</v>
      </c>
      <c r="C73" s="134">
        <v>47227</v>
      </c>
      <c r="D73" s="155">
        <v>70</v>
      </c>
      <c r="E73" s="155">
        <f t="shared" si="12"/>
        <v>2073</v>
      </c>
      <c r="F73" s="156">
        <f t="shared" si="13"/>
        <v>198.84057537099895</v>
      </c>
      <c r="G73" s="155">
        <f t="shared" si="14"/>
        <v>17</v>
      </c>
      <c r="H73" s="158">
        <f t="shared" si="15"/>
        <v>4456.8992265141505</v>
      </c>
    </row>
    <row r="74" spans="1:8" x14ac:dyDescent="0.35">
      <c r="A74" s="179">
        <f t="shared" si="16"/>
        <v>2004</v>
      </c>
      <c r="B74" s="5">
        <v>311</v>
      </c>
      <c r="C74" s="134">
        <v>213234</v>
      </c>
      <c r="D74" s="155">
        <v>70</v>
      </c>
      <c r="E74" s="155">
        <f t="shared" si="12"/>
        <v>2074</v>
      </c>
      <c r="F74" s="156">
        <f t="shared" si="13"/>
        <v>897.78243904248814</v>
      </c>
      <c r="G74" s="155">
        <f t="shared" si="14"/>
        <v>16</v>
      </c>
      <c r="H74" s="158">
        <f t="shared" si="15"/>
        <v>18639.388881759038</v>
      </c>
    </row>
    <row r="75" spans="1:8" x14ac:dyDescent="0.35">
      <c r="A75" s="179">
        <f t="shared" si="16"/>
        <v>2005</v>
      </c>
      <c r="B75" s="5">
        <v>676</v>
      </c>
      <c r="C75" s="134">
        <v>438520</v>
      </c>
      <c r="D75" s="155">
        <v>70</v>
      </c>
      <c r="E75" s="155">
        <f t="shared" si="12"/>
        <v>2075</v>
      </c>
      <c r="F75" s="156">
        <f t="shared" si="13"/>
        <v>1846.3076018313775</v>
      </c>
      <c r="G75" s="155">
        <f t="shared" si="14"/>
        <v>15</v>
      </c>
      <c r="H75" s="158">
        <f t="shared" si="15"/>
        <v>35369.495577651091</v>
      </c>
    </row>
    <row r="76" spans="1:8" x14ac:dyDescent="0.35">
      <c r="A76" s="179">
        <f t="shared" si="16"/>
        <v>2006</v>
      </c>
      <c r="B76" s="5">
        <v>0</v>
      </c>
      <c r="C76" s="134">
        <v>0</v>
      </c>
      <c r="D76" s="155">
        <v>70</v>
      </c>
      <c r="E76" s="155">
        <f t="shared" si="12"/>
        <v>2076</v>
      </c>
      <c r="F76" s="156">
        <f t="shared" si="13"/>
        <v>0</v>
      </c>
      <c r="G76" s="155">
        <f t="shared" si="14"/>
        <v>14</v>
      </c>
      <c r="H76" s="158">
        <f t="shared" si="15"/>
        <v>0</v>
      </c>
    </row>
    <row r="77" spans="1:8" x14ac:dyDescent="0.35">
      <c r="A77" s="179">
        <f t="shared" si="16"/>
        <v>2007</v>
      </c>
      <c r="B77" s="5">
        <v>657</v>
      </c>
      <c r="C77" s="134">
        <v>532754</v>
      </c>
      <c r="D77" s="155">
        <v>70</v>
      </c>
      <c r="E77" s="155">
        <f t="shared" si="12"/>
        <v>2077</v>
      </c>
      <c r="F77" s="156">
        <f t="shared" si="13"/>
        <v>2243.0624831389073</v>
      </c>
      <c r="G77" s="155">
        <f t="shared" si="14"/>
        <v>13</v>
      </c>
      <c r="H77" s="158">
        <f t="shared" si="15"/>
        <v>36082.630219027567</v>
      </c>
    </row>
    <row r="78" spans="1:8" x14ac:dyDescent="0.35">
      <c r="A78" s="179">
        <f t="shared" si="16"/>
        <v>2008</v>
      </c>
      <c r="B78" s="5">
        <v>173</v>
      </c>
      <c r="C78" s="134">
        <v>136298</v>
      </c>
      <c r="D78" s="155">
        <v>70</v>
      </c>
      <c r="E78" s="155">
        <f t="shared" si="12"/>
        <v>2078</v>
      </c>
      <c r="F78" s="156">
        <f t="shared" si="13"/>
        <v>573.85759717780968</v>
      </c>
      <c r="G78" s="155">
        <f t="shared" si="14"/>
        <v>12</v>
      </c>
      <c r="H78" s="158">
        <f t="shared" si="15"/>
        <v>8388.5301027592232</v>
      </c>
    </row>
    <row r="79" spans="1:8" x14ac:dyDescent="0.35">
      <c r="A79" s="179">
        <f t="shared" si="16"/>
        <v>2009</v>
      </c>
      <c r="B79" s="5">
        <v>904</v>
      </c>
      <c r="C79" s="134">
        <v>614683</v>
      </c>
      <c r="D79" s="155">
        <v>70</v>
      </c>
      <c r="E79" s="155">
        <f t="shared" si="12"/>
        <v>2079</v>
      </c>
      <c r="F79" s="156">
        <f t="shared" si="13"/>
        <v>2588.0094308503976</v>
      </c>
      <c r="G79" s="155">
        <f t="shared" si="14"/>
        <v>11</v>
      </c>
      <c r="H79" s="158">
        <f t="shared" si="15"/>
        <v>34141.096917320938</v>
      </c>
    </row>
    <row r="80" spans="1:8" x14ac:dyDescent="0.35">
      <c r="A80" s="179">
        <f t="shared" si="16"/>
        <v>2010</v>
      </c>
      <c r="B80" s="5">
        <v>410</v>
      </c>
      <c r="C80" s="134">
        <v>278049</v>
      </c>
      <c r="D80" s="155">
        <v>70</v>
      </c>
      <c r="E80" s="155">
        <f t="shared" si="12"/>
        <v>2080</v>
      </c>
      <c r="F80" s="156">
        <f t="shared" si="13"/>
        <v>1170.6740453835916</v>
      </c>
      <c r="G80" s="155">
        <f t="shared" si="14"/>
        <v>10</v>
      </c>
      <c r="H80" s="158">
        <f t="shared" si="15"/>
        <v>13823.079948429158</v>
      </c>
    </row>
    <row r="81" spans="1:8" x14ac:dyDescent="0.35">
      <c r="A81" s="179">
        <f t="shared" si="16"/>
        <v>2011</v>
      </c>
      <c r="B81" s="5">
        <v>413</v>
      </c>
      <c r="C81" s="134">
        <v>286761</v>
      </c>
      <c r="D81" s="155">
        <v>70</v>
      </c>
      <c r="E81" s="155">
        <f t="shared" si="12"/>
        <v>2081</v>
      </c>
      <c r="F81" s="156">
        <f t="shared" si="13"/>
        <v>1207.354314988524</v>
      </c>
      <c r="G81" s="155">
        <f t="shared" si="14"/>
        <v>9</v>
      </c>
      <c r="H81" s="158">
        <f t="shared" si="15"/>
        <v>12633.609838223329</v>
      </c>
    </row>
    <row r="82" spans="1:8" x14ac:dyDescent="0.35">
      <c r="A82" s="179">
        <f t="shared" si="16"/>
        <v>2012</v>
      </c>
      <c r="B82" s="5">
        <v>50</v>
      </c>
      <c r="C82" s="134">
        <v>32409</v>
      </c>
      <c r="D82" s="155">
        <v>70</v>
      </c>
      <c r="E82" s="155">
        <f t="shared" si="12"/>
        <v>2082</v>
      </c>
      <c r="F82" s="156">
        <f t="shared" si="13"/>
        <v>136.45211864396859</v>
      </c>
      <c r="G82" s="155">
        <f t="shared" si="14"/>
        <v>8</v>
      </c>
      <c r="H82" s="158">
        <f t="shared" si="15"/>
        <v>1249.7794360016351</v>
      </c>
    </row>
    <row r="83" spans="1:8" x14ac:dyDescent="0.35">
      <c r="A83" s="179">
        <f t="shared" si="16"/>
        <v>2013</v>
      </c>
      <c r="B83" s="5">
        <v>9</v>
      </c>
      <c r="C83" s="134">
        <v>5791</v>
      </c>
      <c r="D83" s="155">
        <v>70</v>
      </c>
      <c r="E83" s="155">
        <f t="shared" si="12"/>
        <v>2083</v>
      </c>
      <c r="F83" s="156">
        <f t="shared" si="13"/>
        <v>24.38193770456423</v>
      </c>
      <c r="G83" s="155">
        <f t="shared" si="14"/>
        <v>7</v>
      </c>
      <c r="H83" s="158">
        <f t="shared" si="15"/>
        <v>192.43044582324865</v>
      </c>
    </row>
    <row r="84" spans="1:8" x14ac:dyDescent="0.35">
      <c r="A84" s="179">
        <f t="shared" si="16"/>
        <v>2014</v>
      </c>
      <c r="B84" s="5">
        <v>94</v>
      </c>
      <c r="C84" s="134">
        <v>63812</v>
      </c>
      <c r="D84" s="155">
        <v>70</v>
      </c>
      <c r="E84" s="155">
        <f t="shared" si="12"/>
        <v>2084</v>
      </c>
      <c r="F84" s="156">
        <f t="shared" si="13"/>
        <v>268.66865978305174</v>
      </c>
      <c r="G84" s="155">
        <f t="shared" si="14"/>
        <v>6</v>
      </c>
      <c r="H84" s="158">
        <f t="shared" si="15"/>
        <v>1789.9947849785949</v>
      </c>
    </row>
    <row r="85" spans="1:8" x14ac:dyDescent="0.35">
      <c r="A85" s="179">
        <f t="shared" si="16"/>
        <v>2015</v>
      </c>
      <c r="B85" s="5">
        <v>45</v>
      </c>
      <c r="C85" s="134">
        <v>44804</v>
      </c>
      <c r="D85" s="155">
        <v>70</v>
      </c>
      <c r="E85" s="155">
        <f t="shared" si="12"/>
        <v>2085</v>
      </c>
      <c r="F85" s="156">
        <f t="shared" si="13"/>
        <v>188.6389806450174</v>
      </c>
      <c r="G85" s="155">
        <f t="shared" si="14"/>
        <v>5</v>
      </c>
      <c r="H85" s="158">
        <f t="shared" si="15"/>
        <v>1031.5552663234885</v>
      </c>
    </row>
    <row r="86" spans="1:8" x14ac:dyDescent="0.35">
      <c r="A86" s="179">
        <f t="shared" si="16"/>
        <v>2016</v>
      </c>
      <c r="B86" s="5">
        <v>0</v>
      </c>
      <c r="C86" s="134">
        <v>0</v>
      </c>
      <c r="D86" s="155">
        <v>70</v>
      </c>
      <c r="E86" s="155">
        <f t="shared" si="12"/>
        <v>2086</v>
      </c>
      <c r="F86" s="156">
        <f t="shared" si="13"/>
        <v>0</v>
      </c>
      <c r="G86" s="155">
        <f t="shared" si="14"/>
        <v>4</v>
      </c>
      <c r="H86" s="158">
        <f t="shared" si="15"/>
        <v>0</v>
      </c>
    </row>
    <row r="87" spans="1:8" x14ac:dyDescent="0.35">
      <c r="A87" s="179">
        <f t="shared" si="16"/>
        <v>2017</v>
      </c>
      <c r="B87" s="5">
        <v>237</v>
      </c>
      <c r="C87" s="134">
        <v>161099</v>
      </c>
      <c r="D87" s="155">
        <v>70</v>
      </c>
      <c r="E87" s="155">
        <f t="shared" si="12"/>
        <v>2087</v>
      </c>
      <c r="F87" s="156">
        <f t="shared" si="13"/>
        <v>678.27763465163071</v>
      </c>
      <c r="G87" s="155">
        <f t="shared" si="14"/>
        <v>3</v>
      </c>
      <c r="H87" s="158">
        <f t="shared" si="15"/>
        <v>2159.3829911730677</v>
      </c>
    </row>
    <row r="88" spans="1:8" x14ac:dyDescent="0.35">
      <c r="A88" s="179">
        <f t="shared" si="16"/>
        <v>2018</v>
      </c>
      <c r="B88" s="5">
        <v>272</v>
      </c>
      <c r="C88" s="134">
        <v>189744</v>
      </c>
      <c r="D88" s="155">
        <v>70</v>
      </c>
      <c r="E88" s="155">
        <f t="shared" si="12"/>
        <v>2088</v>
      </c>
      <c r="F88" s="156">
        <f t="shared" si="13"/>
        <v>798.88212533497415</v>
      </c>
      <c r="G88" s="155">
        <f t="shared" si="14"/>
        <v>2</v>
      </c>
      <c r="H88" s="158">
        <f t="shared" si="15"/>
        <v>1670.3826358628962</v>
      </c>
    </row>
    <row r="89" spans="1:8" x14ac:dyDescent="0.35">
      <c r="A89" s="179">
        <f>A90-1</f>
        <v>2019</v>
      </c>
      <c r="B89" s="5">
        <v>0</v>
      </c>
      <c r="C89" s="134">
        <v>0</v>
      </c>
      <c r="D89" s="155">
        <v>70</v>
      </c>
      <c r="E89" s="155">
        <f t="shared" si="12"/>
        <v>2089</v>
      </c>
      <c r="F89" s="156">
        <f t="shared" si="13"/>
        <v>0</v>
      </c>
      <c r="G89" s="155">
        <f t="shared" si="14"/>
        <v>1</v>
      </c>
      <c r="H89" s="158">
        <f t="shared" si="15"/>
        <v>0</v>
      </c>
    </row>
    <row r="90" spans="1:8" ht="15" thickBot="1" x14ac:dyDescent="0.4">
      <c r="A90" s="181">
        <f>Kostenkalkulation!E19</f>
        <v>2020</v>
      </c>
      <c r="B90" s="10">
        <v>110</v>
      </c>
      <c r="C90" s="135">
        <v>70400</v>
      </c>
      <c r="D90" s="159">
        <v>70</v>
      </c>
      <c r="E90" s="159">
        <f t="shared" si="12"/>
        <v>2090</v>
      </c>
      <c r="F90" s="160">
        <f t="shared" si="13"/>
        <v>296.40621902975681</v>
      </c>
      <c r="G90" s="159">
        <f t="shared" si="14"/>
        <v>0</v>
      </c>
      <c r="H90" s="162">
        <f t="shared" si="15"/>
        <v>0</v>
      </c>
    </row>
  </sheetData>
  <sheetProtection algorithmName="SHA-512" hashValue="qfGdgs09Y5NOBGS6xQFw/3IT8pwF/i9Y5xdOVSxzcGRTbi6P4n/bXniiZxkDo6sJwYF8XITWs7kfvtVm3a+44g==" saltValue="O/USFu8k/0c+DR60aZmdmg==" spinCount="100000" sheet="1" objects="1" scenarios="1"/>
  <pageMargins left="0.7" right="0.7" top="0.78740157499999996" bottom="0.78740157499999996" header="0.3" footer="0.3"/>
  <pageSetup paperSize="9" orientation="portrait" r:id="rId1"/>
  <headerFooter differentFirst="1">
    <oddHeader>&amp;R&amp;G</oddHeader>
    <firstHeader>&amp;R&amp;G</first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0"/>
  <sheetViews>
    <sheetView view="pageLayout" zoomScaleNormal="80" workbookViewId="0"/>
  </sheetViews>
  <sheetFormatPr baseColWidth="10" defaultColWidth="11.453125" defaultRowHeight="14.5" x14ac:dyDescent="0.35"/>
  <cols>
    <col min="1" max="1" width="13.7265625" style="136" customWidth="1"/>
    <col min="2" max="2" width="13.7265625" style="209" customWidth="1"/>
    <col min="3" max="3" width="21.26953125" style="209" customWidth="1"/>
    <col min="4" max="5" width="13.7265625" style="136" customWidth="1"/>
    <col min="6" max="6" width="16.81640625" style="209" customWidth="1"/>
    <col min="7" max="7" width="15.81640625" style="136" customWidth="1"/>
    <col min="8" max="8" width="16.81640625" style="209" customWidth="1"/>
    <col min="9" max="16384" width="11.453125" style="137"/>
  </cols>
  <sheetData>
    <row r="1" spans="1:8" ht="21" x14ac:dyDescent="0.5">
      <c r="A1" s="64" t="s">
        <v>137</v>
      </c>
      <c r="F1" s="210"/>
      <c r="H1" s="210"/>
    </row>
    <row r="2" spans="1:8" ht="16" thickBot="1" x14ac:dyDescent="0.4">
      <c r="A2" s="139" t="s">
        <v>123</v>
      </c>
      <c r="E2" s="140" t="s">
        <v>25</v>
      </c>
      <c r="F2" s="141">
        <f>Kostenkalkulation!E18</f>
        <v>0.03</v>
      </c>
      <c r="G2" s="140" t="s">
        <v>161</v>
      </c>
      <c r="H2" s="140">
        <f>Kostenkalkulation!E19</f>
        <v>2020</v>
      </c>
    </row>
    <row r="3" spans="1:8" ht="15" thickBot="1" x14ac:dyDescent="0.4">
      <c r="A3" s="165" t="s">
        <v>5</v>
      </c>
      <c r="B3" s="211">
        <f>SUM(B5:B90)</f>
        <v>21162</v>
      </c>
      <c r="C3" s="146">
        <v>23168514</v>
      </c>
      <c r="D3" s="211"/>
      <c r="E3" s="211"/>
      <c r="F3" s="146">
        <f>SUM(F5:F89)</f>
        <v>69647.117045827807</v>
      </c>
      <c r="G3" s="211"/>
      <c r="H3" s="147">
        <f>SUM(H5:H89)</f>
        <v>3790291.4770797766</v>
      </c>
    </row>
    <row r="4" spans="1:8" ht="15" thickBot="1" x14ac:dyDescent="0.4">
      <c r="A4" s="212" t="s">
        <v>0</v>
      </c>
      <c r="B4" s="213" t="s">
        <v>6</v>
      </c>
      <c r="C4" s="213" t="s">
        <v>1</v>
      </c>
      <c r="D4" s="214" t="s">
        <v>7</v>
      </c>
      <c r="E4" s="214" t="s">
        <v>2</v>
      </c>
      <c r="F4" s="214" t="s">
        <v>145</v>
      </c>
      <c r="G4" s="214" t="s">
        <v>4</v>
      </c>
      <c r="H4" s="215" t="s">
        <v>146</v>
      </c>
    </row>
    <row r="5" spans="1:8" x14ac:dyDescent="0.35">
      <c r="A5" s="216">
        <f t="shared" ref="A5:A68" si="0">A6-1</f>
        <v>1935</v>
      </c>
      <c r="B5" s="29">
        <v>0</v>
      </c>
      <c r="C5" s="133">
        <v>0</v>
      </c>
      <c r="D5" s="151">
        <v>80</v>
      </c>
      <c r="E5" s="151">
        <f t="shared" ref="E5:E30" si="1">A5+D5</f>
        <v>2015</v>
      </c>
      <c r="F5" s="152">
        <f>C5*$F$2/(($F$2+1)*(($F$2+1)^D5-1))</f>
        <v>0</v>
      </c>
      <c r="G5" s="151">
        <f t="shared" ref="G5:G30" si="2">IF(($H$2-A5)&lt;D5,$H$2-A5,D5)</f>
        <v>80</v>
      </c>
      <c r="H5" s="154">
        <f>F5*($F$2+1)*((($F$2+1)^(G5)-1))/$F$2</f>
        <v>0</v>
      </c>
    </row>
    <row r="6" spans="1:8" x14ac:dyDescent="0.35">
      <c r="A6" s="179">
        <f t="shared" si="0"/>
        <v>1936</v>
      </c>
      <c r="B6" s="11">
        <v>0</v>
      </c>
      <c r="C6" s="134">
        <v>0</v>
      </c>
      <c r="D6" s="155">
        <v>80</v>
      </c>
      <c r="E6" s="155">
        <f t="shared" si="1"/>
        <v>2016</v>
      </c>
      <c r="F6" s="156">
        <f t="shared" ref="F6:F16" si="3">C6*$F$2/(($F$2+1)*(($F$2+1)^D6-1))</f>
        <v>0</v>
      </c>
      <c r="G6" s="155">
        <f t="shared" si="2"/>
        <v>80</v>
      </c>
      <c r="H6" s="158">
        <f t="shared" ref="H6:H30" si="4">F6*($F$2+1)*((($F$2+1)^(G6)-1))/$F$2</f>
        <v>0</v>
      </c>
    </row>
    <row r="7" spans="1:8" x14ac:dyDescent="0.35">
      <c r="A7" s="179">
        <f t="shared" si="0"/>
        <v>1937</v>
      </c>
      <c r="B7" s="11">
        <v>0</v>
      </c>
      <c r="C7" s="134">
        <v>0</v>
      </c>
      <c r="D7" s="155">
        <v>80</v>
      </c>
      <c r="E7" s="155">
        <f t="shared" si="1"/>
        <v>2017</v>
      </c>
      <c r="F7" s="156">
        <f t="shared" si="3"/>
        <v>0</v>
      </c>
      <c r="G7" s="155">
        <f t="shared" si="2"/>
        <v>80</v>
      </c>
      <c r="H7" s="158">
        <f t="shared" si="4"/>
        <v>0</v>
      </c>
    </row>
    <row r="8" spans="1:8" x14ac:dyDescent="0.35">
      <c r="A8" s="179">
        <f t="shared" si="0"/>
        <v>1938</v>
      </c>
      <c r="B8" s="11">
        <v>0</v>
      </c>
      <c r="C8" s="134">
        <v>0</v>
      </c>
      <c r="D8" s="155">
        <v>80</v>
      </c>
      <c r="E8" s="155">
        <f t="shared" si="1"/>
        <v>2018</v>
      </c>
      <c r="F8" s="156">
        <f t="shared" si="3"/>
        <v>0</v>
      </c>
      <c r="G8" s="155">
        <f t="shared" si="2"/>
        <v>80</v>
      </c>
      <c r="H8" s="158">
        <f t="shared" si="4"/>
        <v>0</v>
      </c>
    </row>
    <row r="9" spans="1:8" x14ac:dyDescent="0.35">
      <c r="A9" s="179">
        <f t="shared" si="0"/>
        <v>1939</v>
      </c>
      <c r="B9" s="11">
        <v>0</v>
      </c>
      <c r="C9" s="134">
        <v>0</v>
      </c>
      <c r="D9" s="155">
        <v>80</v>
      </c>
      <c r="E9" s="155">
        <f t="shared" si="1"/>
        <v>2019</v>
      </c>
      <c r="F9" s="156">
        <f t="shared" si="3"/>
        <v>0</v>
      </c>
      <c r="G9" s="155">
        <f t="shared" si="2"/>
        <v>80</v>
      </c>
      <c r="H9" s="158">
        <f t="shared" si="4"/>
        <v>0</v>
      </c>
    </row>
    <row r="10" spans="1:8" x14ac:dyDescent="0.35">
      <c r="A10" s="179">
        <f t="shared" si="0"/>
        <v>1940</v>
      </c>
      <c r="B10" s="11">
        <v>0</v>
      </c>
      <c r="C10" s="134">
        <v>0</v>
      </c>
      <c r="D10" s="155">
        <v>80</v>
      </c>
      <c r="E10" s="155">
        <f t="shared" si="1"/>
        <v>2020</v>
      </c>
      <c r="F10" s="156">
        <f t="shared" si="3"/>
        <v>0</v>
      </c>
      <c r="G10" s="155">
        <f t="shared" si="2"/>
        <v>80</v>
      </c>
      <c r="H10" s="158">
        <f t="shared" si="4"/>
        <v>0</v>
      </c>
    </row>
    <row r="11" spans="1:8" x14ac:dyDescent="0.35">
      <c r="A11" s="179">
        <f t="shared" si="0"/>
        <v>1941</v>
      </c>
      <c r="B11" s="11">
        <v>0</v>
      </c>
      <c r="C11" s="134">
        <v>0</v>
      </c>
      <c r="D11" s="155">
        <v>80</v>
      </c>
      <c r="E11" s="155">
        <f t="shared" si="1"/>
        <v>2021</v>
      </c>
      <c r="F11" s="156">
        <f t="shared" si="3"/>
        <v>0</v>
      </c>
      <c r="G11" s="155">
        <f t="shared" si="2"/>
        <v>79</v>
      </c>
      <c r="H11" s="158">
        <f t="shared" si="4"/>
        <v>0</v>
      </c>
    </row>
    <row r="12" spans="1:8" x14ac:dyDescent="0.35">
      <c r="A12" s="179">
        <f t="shared" si="0"/>
        <v>1942</v>
      </c>
      <c r="B12" s="11">
        <v>0</v>
      </c>
      <c r="C12" s="134">
        <v>0</v>
      </c>
      <c r="D12" s="155">
        <v>80</v>
      </c>
      <c r="E12" s="155">
        <f t="shared" si="1"/>
        <v>2022</v>
      </c>
      <c r="F12" s="156">
        <f t="shared" si="3"/>
        <v>0</v>
      </c>
      <c r="G12" s="155">
        <f t="shared" si="2"/>
        <v>78</v>
      </c>
      <c r="H12" s="158">
        <f t="shared" si="4"/>
        <v>0</v>
      </c>
    </row>
    <row r="13" spans="1:8" x14ac:dyDescent="0.35">
      <c r="A13" s="179">
        <f t="shared" si="0"/>
        <v>1943</v>
      </c>
      <c r="B13" s="11">
        <v>0</v>
      </c>
      <c r="C13" s="134">
        <v>0</v>
      </c>
      <c r="D13" s="155">
        <v>80</v>
      </c>
      <c r="E13" s="155">
        <f t="shared" si="1"/>
        <v>2023</v>
      </c>
      <c r="F13" s="156">
        <f t="shared" si="3"/>
        <v>0</v>
      </c>
      <c r="G13" s="155">
        <f t="shared" si="2"/>
        <v>77</v>
      </c>
      <c r="H13" s="158">
        <f t="shared" si="4"/>
        <v>0</v>
      </c>
    </row>
    <row r="14" spans="1:8" x14ac:dyDescent="0.35">
      <c r="A14" s="179">
        <f t="shared" si="0"/>
        <v>1944</v>
      </c>
      <c r="B14" s="11">
        <v>0</v>
      </c>
      <c r="C14" s="134">
        <v>0</v>
      </c>
      <c r="D14" s="155">
        <v>80</v>
      </c>
      <c r="E14" s="155">
        <f t="shared" si="1"/>
        <v>2024</v>
      </c>
      <c r="F14" s="156">
        <f t="shared" si="3"/>
        <v>0</v>
      </c>
      <c r="G14" s="155">
        <f t="shared" si="2"/>
        <v>76</v>
      </c>
      <c r="H14" s="158">
        <f t="shared" si="4"/>
        <v>0</v>
      </c>
    </row>
    <row r="15" spans="1:8" x14ac:dyDescent="0.35">
      <c r="A15" s="179">
        <f t="shared" si="0"/>
        <v>1945</v>
      </c>
      <c r="B15" s="11">
        <v>0</v>
      </c>
      <c r="C15" s="134">
        <v>0</v>
      </c>
      <c r="D15" s="155">
        <v>80</v>
      </c>
      <c r="E15" s="155">
        <f t="shared" si="1"/>
        <v>2025</v>
      </c>
      <c r="F15" s="156">
        <f t="shared" si="3"/>
        <v>0</v>
      </c>
      <c r="G15" s="155">
        <f t="shared" si="2"/>
        <v>75</v>
      </c>
      <c r="H15" s="158">
        <f t="shared" si="4"/>
        <v>0</v>
      </c>
    </row>
    <row r="16" spans="1:8" x14ac:dyDescent="0.35">
      <c r="A16" s="179">
        <f t="shared" si="0"/>
        <v>1946</v>
      </c>
      <c r="B16" s="11">
        <v>0</v>
      </c>
      <c r="C16" s="134">
        <v>0</v>
      </c>
      <c r="D16" s="155">
        <v>80</v>
      </c>
      <c r="E16" s="155">
        <f t="shared" si="1"/>
        <v>2026</v>
      </c>
      <c r="F16" s="156">
        <f t="shared" si="3"/>
        <v>0</v>
      </c>
      <c r="G16" s="155">
        <f t="shared" si="2"/>
        <v>74</v>
      </c>
      <c r="H16" s="158">
        <f t="shared" si="4"/>
        <v>0</v>
      </c>
    </row>
    <row r="17" spans="1:8" x14ac:dyDescent="0.35">
      <c r="A17" s="179">
        <f t="shared" si="0"/>
        <v>1947</v>
      </c>
      <c r="B17" s="11">
        <v>326</v>
      </c>
      <c r="C17" s="134">
        <v>1027915</v>
      </c>
      <c r="D17" s="155">
        <v>80</v>
      </c>
      <c r="E17" s="155">
        <f t="shared" si="1"/>
        <v>2027</v>
      </c>
      <c r="F17" s="156">
        <f t="shared" ref="F17:F30" si="5">C17*$F$2/(($F$2+1)*(($F$2+1)^D17-1))</f>
        <v>3105.4467084155008</v>
      </c>
      <c r="G17" s="155">
        <f t="shared" si="2"/>
        <v>73</v>
      </c>
      <c r="H17" s="158">
        <f>F17*($F$2+1)*((($F$2+1)^(G17)-1))/$F$2</f>
        <v>815860.71483583993</v>
      </c>
    </row>
    <row r="18" spans="1:8" x14ac:dyDescent="0.35">
      <c r="A18" s="179">
        <f t="shared" si="0"/>
        <v>1948</v>
      </c>
      <c r="B18" s="11">
        <v>0</v>
      </c>
      <c r="C18" s="134">
        <v>0</v>
      </c>
      <c r="D18" s="155">
        <v>80</v>
      </c>
      <c r="E18" s="155">
        <f t="shared" si="1"/>
        <v>2028</v>
      </c>
      <c r="F18" s="156">
        <f t="shared" si="5"/>
        <v>0</v>
      </c>
      <c r="G18" s="155">
        <f t="shared" si="2"/>
        <v>72</v>
      </c>
      <c r="H18" s="158">
        <f t="shared" si="4"/>
        <v>0</v>
      </c>
    </row>
    <row r="19" spans="1:8" x14ac:dyDescent="0.35">
      <c r="A19" s="179">
        <f t="shared" si="0"/>
        <v>1949</v>
      </c>
      <c r="B19" s="11">
        <v>0</v>
      </c>
      <c r="C19" s="134">
        <v>0</v>
      </c>
      <c r="D19" s="155">
        <v>80</v>
      </c>
      <c r="E19" s="155">
        <f t="shared" si="1"/>
        <v>2029</v>
      </c>
      <c r="F19" s="156">
        <f t="shared" si="5"/>
        <v>0</v>
      </c>
      <c r="G19" s="155">
        <f t="shared" si="2"/>
        <v>71</v>
      </c>
      <c r="H19" s="158">
        <f t="shared" si="4"/>
        <v>0</v>
      </c>
    </row>
    <row r="20" spans="1:8" x14ac:dyDescent="0.35">
      <c r="A20" s="179">
        <f t="shared" si="0"/>
        <v>1950</v>
      </c>
      <c r="B20" s="11">
        <v>0</v>
      </c>
      <c r="C20" s="134">
        <v>0</v>
      </c>
      <c r="D20" s="155">
        <v>80</v>
      </c>
      <c r="E20" s="155">
        <f t="shared" si="1"/>
        <v>2030</v>
      </c>
      <c r="F20" s="156">
        <f t="shared" si="5"/>
        <v>0</v>
      </c>
      <c r="G20" s="155">
        <f t="shared" si="2"/>
        <v>70</v>
      </c>
      <c r="H20" s="158">
        <f t="shared" si="4"/>
        <v>0</v>
      </c>
    </row>
    <row r="21" spans="1:8" x14ac:dyDescent="0.35">
      <c r="A21" s="179">
        <f t="shared" si="0"/>
        <v>1951</v>
      </c>
      <c r="B21" s="11">
        <v>0</v>
      </c>
      <c r="C21" s="134">
        <v>0</v>
      </c>
      <c r="D21" s="155">
        <v>80</v>
      </c>
      <c r="E21" s="155">
        <f t="shared" si="1"/>
        <v>2031</v>
      </c>
      <c r="F21" s="156">
        <f t="shared" si="5"/>
        <v>0</v>
      </c>
      <c r="G21" s="155">
        <f t="shared" si="2"/>
        <v>69</v>
      </c>
      <c r="H21" s="158">
        <f t="shared" si="4"/>
        <v>0</v>
      </c>
    </row>
    <row r="22" spans="1:8" x14ac:dyDescent="0.35">
      <c r="A22" s="179">
        <f t="shared" si="0"/>
        <v>1952</v>
      </c>
      <c r="B22" s="11">
        <v>0</v>
      </c>
      <c r="C22" s="134">
        <v>0</v>
      </c>
      <c r="D22" s="155">
        <v>80</v>
      </c>
      <c r="E22" s="155">
        <f t="shared" si="1"/>
        <v>2032</v>
      </c>
      <c r="F22" s="156">
        <f t="shared" si="5"/>
        <v>0</v>
      </c>
      <c r="G22" s="155">
        <f t="shared" si="2"/>
        <v>68</v>
      </c>
      <c r="H22" s="158">
        <f t="shared" si="4"/>
        <v>0</v>
      </c>
    </row>
    <row r="23" spans="1:8" x14ac:dyDescent="0.35">
      <c r="A23" s="179">
        <f t="shared" si="0"/>
        <v>1953</v>
      </c>
      <c r="B23" s="11">
        <v>0</v>
      </c>
      <c r="C23" s="134">
        <v>0</v>
      </c>
      <c r="D23" s="155">
        <v>80</v>
      </c>
      <c r="E23" s="155">
        <f t="shared" si="1"/>
        <v>2033</v>
      </c>
      <c r="F23" s="156">
        <f t="shared" si="5"/>
        <v>0</v>
      </c>
      <c r="G23" s="155">
        <f t="shared" si="2"/>
        <v>67</v>
      </c>
      <c r="H23" s="158">
        <f t="shared" si="4"/>
        <v>0</v>
      </c>
    </row>
    <row r="24" spans="1:8" x14ac:dyDescent="0.35">
      <c r="A24" s="179">
        <f t="shared" si="0"/>
        <v>1954</v>
      </c>
      <c r="B24" s="11">
        <v>0</v>
      </c>
      <c r="C24" s="134">
        <v>0</v>
      </c>
      <c r="D24" s="155">
        <v>80</v>
      </c>
      <c r="E24" s="155">
        <f t="shared" si="1"/>
        <v>2034</v>
      </c>
      <c r="F24" s="156">
        <f t="shared" si="5"/>
        <v>0</v>
      </c>
      <c r="G24" s="155">
        <f t="shared" si="2"/>
        <v>66</v>
      </c>
      <c r="H24" s="158">
        <f t="shared" si="4"/>
        <v>0</v>
      </c>
    </row>
    <row r="25" spans="1:8" x14ac:dyDescent="0.35">
      <c r="A25" s="179">
        <f t="shared" si="0"/>
        <v>1955</v>
      </c>
      <c r="B25" s="11">
        <v>0</v>
      </c>
      <c r="C25" s="134">
        <v>0</v>
      </c>
      <c r="D25" s="155">
        <v>80</v>
      </c>
      <c r="E25" s="155">
        <f t="shared" si="1"/>
        <v>2035</v>
      </c>
      <c r="F25" s="156">
        <f t="shared" si="5"/>
        <v>0</v>
      </c>
      <c r="G25" s="155">
        <f t="shared" si="2"/>
        <v>65</v>
      </c>
      <c r="H25" s="158">
        <f t="shared" si="4"/>
        <v>0</v>
      </c>
    </row>
    <row r="26" spans="1:8" x14ac:dyDescent="0.35">
      <c r="A26" s="179">
        <f t="shared" si="0"/>
        <v>1956</v>
      </c>
      <c r="B26" s="11">
        <v>0</v>
      </c>
      <c r="C26" s="134">
        <v>0</v>
      </c>
      <c r="D26" s="155">
        <v>80</v>
      </c>
      <c r="E26" s="155">
        <f t="shared" si="1"/>
        <v>2036</v>
      </c>
      <c r="F26" s="156">
        <f t="shared" si="5"/>
        <v>0</v>
      </c>
      <c r="G26" s="155">
        <f t="shared" si="2"/>
        <v>64</v>
      </c>
      <c r="H26" s="158">
        <f t="shared" si="4"/>
        <v>0</v>
      </c>
    </row>
    <row r="27" spans="1:8" x14ac:dyDescent="0.35">
      <c r="A27" s="179">
        <f t="shared" si="0"/>
        <v>1957</v>
      </c>
      <c r="B27" s="5">
        <v>132</v>
      </c>
      <c r="C27" s="134">
        <v>89806</v>
      </c>
      <c r="D27" s="155">
        <v>80</v>
      </c>
      <c r="E27" s="155">
        <f t="shared" si="1"/>
        <v>2037</v>
      </c>
      <c r="F27" s="156">
        <f t="shared" si="5"/>
        <v>271.31401633010751</v>
      </c>
      <c r="G27" s="155">
        <f t="shared" si="2"/>
        <v>63</v>
      </c>
      <c r="H27" s="158">
        <f t="shared" si="4"/>
        <v>50654.789879000149</v>
      </c>
    </row>
    <row r="28" spans="1:8" x14ac:dyDescent="0.35">
      <c r="A28" s="179">
        <f t="shared" si="0"/>
        <v>1958</v>
      </c>
      <c r="B28" s="5">
        <v>0</v>
      </c>
      <c r="C28" s="134">
        <v>0</v>
      </c>
      <c r="D28" s="155">
        <v>80</v>
      </c>
      <c r="E28" s="155">
        <f t="shared" si="1"/>
        <v>2038</v>
      </c>
      <c r="F28" s="156">
        <f t="shared" si="5"/>
        <v>0</v>
      </c>
      <c r="G28" s="155">
        <f t="shared" si="2"/>
        <v>62</v>
      </c>
      <c r="H28" s="158">
        <f t="shared" si="4"/>
        <v>0</v>
      </c>
    </row>
    <row r="29" spans="1:8" x14ac:dyDescent="0.35">
      <c r="A29" s="179">
        <f t="shared" si="0"/>
        <v>1959</v>
      </c>
      <c r="B29" s="5">
        <v>0</v>
      </c>
      <c r="C29" s="134">
        <v>0</v>
      </c>
      <c r="D29" s="155">
        <v>80</v>
      </c>
      <c r="E29" s="155">
        <f t="shared" si="1"/>
        <v>2039</v>
      </c>
      <c r="F29" s="156">
        <f t="shared" si="5"/>
        <v>0</v>
      </c>
      <c r="G29" s="155">
        <f t="shared" si="2"/>
        <v>61</v>
      </c>
      <c r="H29" s="158">
        <f t="shared" si="4"/>
        <v>0</v>
      </c>
    </row>
    <row r="30" spans="1:8" x14ac:dyDescent="0.35">
      <c r="A30" s="179">
        <f t="shared" si="0"/>
        <v>1960</v>
      </c>
      <c r="B30" s="5">
        <v>59</v>
      </c>
      <c r="C30" s="134">
        <v>34361</v>
      </c>
      <c r="D30" s="155">
        <v>80</v>
      </c>
      <c r="E30" s="155">
        <f t="shared" si="1"/>
        <v>2040</v>
      </c>
      <c r="F30" s="156">
        <f t="shared" si="5"/>
        <v>103.80844169786901</v>
      </c>
      <c r="G30" s="155">
        <f t="shared" si="2"/>
        <v>60</v>
      </c>
      <c r="H30" s="158">
        <f t="shared" si="4"/>
        <v>17434.11288348366</v>
      </c>
    </row>
    <row r="31" spans="1:8" x14ac:dyDescent="0.35">
      <c r="A31" s="179">
        <f t="shared" si="0"/>
        <v>1961</v>
      </c>
      <c r="B31" s="5">
        <v>0</v>
      </c>
      <c r="C31" s="134">
        <v>0</v>
      </c>
      <c r="D31" s="155">
        <v>80</v>
      </c>
      <c r="E31" s="155">
        <f t="shared" ref="E31:E43" si="6">A31+D31</f>
        <v>2041</v>
      </c>
      <c r="F31" s="156">
        <f t="shared" ref="F31:F43" si="7">C31*$F$2/(($F$2+1)*(($F$2+1)^D31-1))</f>
        <v>0</v>
      </c>
      <c r="G31" s="155">
        <f t="shared" ref="G31:G43" si="8">IF(($H$2-A31)&lt;D31,$H$2-A31,D31)</f>
        <v>59</v>
      </c>
      <c r="H31" s="158">
        <f t="shared" ref="H31:H43" si="9">F31*($F$2+1)*((($F$2+1)^(G31)-1))/$F$2</f>
        <v>0</v>
      </c>
    </row>
    <row r="32" spans="1:8" x14ac:dyDescent="0.35">
      <c r="A32" s="179">
        <f t="shared" si="0"/>
        <v>1962</v>
      </c>
      <c r="B32" s="5">
        <v>0</v>
      </c>
      <c r="C32" s="134">
        <v>0</v>
      </c>
      <c r="D32" s="155">
        <v>80</v>
      </c>
      <c r="E32" s="155">
        <f t="shared" si="6"/>
        <v>2042</v>
      </c>
      <c r="F32" s="156">
        <f t="shared" si="7"/>
        <v>0</v>
      </c>
      <c r="G32" s="155">
        <f t="shared" si="8"/>
        <v>58</v>
      </c>
      <c r="H32" s="158">
        <f t="shared" si="9"/>
        <v>0</v>
      </c>
    </row>
    <row r="33" spans="1:8" x14ac:dyDescent="0.35">
      <c r="A33" s="179">
        <f t="shared" si="0"/>
        <v>1963</v>
      </c>
      <c r="B33" s="5">
        <v>0</v>
      </c>
      <c r="C33" s="134">
        <v>0</v>
      </c>
      <c r="D33" s="155">
        <v>80</v>
      </c>
      <c r="E33" s="155">
        <f t="shared" si="6"/>
        <v>2043</v>
      </c>
      <c r="F33" s="156">
        <f t="shared" si="7"/>
        <v>0</v>
      </c>
      <c r="G33" s="155">
        <f t="shared" si="8"/>
        <v>57</v>
      </c>
      <c r="H33" s="158">
        <f t="shared" si="9"/>
        <v>0</v>
      </c>
    </row>
    <row r="34" spans="1:8" x14ac:dyDescent="0.35">
      <c r="A34" s="179">
        <f t="shared" si="0"/>
        <v>1964</v>
      </c>
      <c r="B34" s="5">
        <v>7</v>
      </c>
      <c r="C34" s="134">
        <v>5071</v>
      </c>
      <c r="D34" s="155">
        <v>80</v>
      </c>
      <c r="E34" s="155">
        <f t="shared" si="6"/>
        <v>2044</v>
      </c>
      <c r="F34" s="156">
        <f t="shared" si="7"/>
        <v>15.320060762198242</v>
      </c>
      <c r="G34" s="155">
        <f t="shared" si="8"/>
        <v>56</v>
      </c>
      <c r="H34" s="158">
        <f t="shared" si="9"/>
        <v>2227.3588365970922</v>
      </c>
    </row>
    <row r="35" spans="1:8" x14ac:dyDescent="0.35">
      <c r="A35" s="179">
        <f t="shared" si="0"/>
        <v>1965</v>
      </c>
      <c r="B35" s="5">
        <v>3</v>
      </c>
      <c r="C35" s="134">
        <v>2039</v>
      </c>
      <c r="D35" s="155">
        <v>80</v>
      </c>
      <c r="E35" s="155">
        <f t="shared" si="6"/>
        <v>2045</v>
      </c>
      <c r="F35" s="156">
        <f t="shared" si="7"/>
        <v>6.1600480958631856</v>
      </c>
      <c r="G35" s="155">
        <f t="shared" si="8"/>
        <v>55</v>
      </c>
      <c r="H35" s="158">
        <f t="shared" si="9"/>
        <v>863.35395362752354</v>
      </c>
    </row>
    <row r="36" spans="1:8" x14ac:dyDescent="0.35">
      <c r="A36" s="179">
        <f t="shared" si="0"/>
        <v>1966</v>
      </c>
      <c r="B36" s="5">
        <v>17</v>
      </c>
      <c r="C36" s="134">
        <v>11689</v>
      </c>
      <c r="D36" s="155">
        <v>80</v>
      </c>
      <c r="E36" s="155">
        <f t="shared" si="6"/>
        <v>2046</v>
      </c>
      <c r="F36" s="156">
        <f t="shared" si="7"/>
        <v>35.313782340630098</v>
      </c>
      <c r="G36" s="155">
        <f t="shared" si="8"/>
        <v>54</v>
      </c>
      <c r="H36" s="158">
        <f t="shared" si="9"/>
        <v>4769.8897792530133</v>
      </c>
    </row>
    <row r="37" spans="1:8" x14ac:dyDescent="0.35">
      <c r="A37" s="179">
        <f t="shared" si="0"/>
        <v>1967</v>
      </c>
      <c r="B37" s="5">
        <v>0</v>
      </c>
      <c r="C37" s="134">
        <v>0</v>
      </c>
      <c r="D37" s="155">
        <v>80</v>
      </c>
      <c r="E37" s="155">
        <f t="shared" si="6"/>
        <v>2047</v>
      </c>
      <c r="F37" s="156">
        <f t="shared" si="7"/>
        <v>0</v>
      </c>
      <c r="G37" s="155">
        <f t="shared" si="8"/>
        <v>53</v>
      </c>
      <c r="H37" s="158">
        <f t="shared" si="9"/>
        <v>0</v>
      </c>
    </row>
    <row r="38" spans="1:8" x14ac:dyDescent="0.35">
      <c r="A38" s="179">
        <f t="shared" si="0"/>
        <v>1968</v>
      </c>
      <c r="B38" s="5">
        <v>3</v>
      </c>
      <c r="C38" s="134">
        <v>1855</v>
      </c>
      <c r="D38" s="155">
        <v>80</v>
      </c>
      <c r="E38" s="155">
        <f t="shared" si="6"/>
        <v>2048</v>
      </c>
      <c r="F38" s="156">
        <f t="shared" si="7"/>
        <v>5.6041634221805836</v>
      </c>
      <c r="G38" s="155">
        <f t="shared" si="8"/>
        <v>52</v>
      </c>
      <c r="H38" s="158">
        <f t="shared" si="9"/>
        <v>702.46553428251457</v>
      </c>
    </row>
    <row r="39" spans="1:8" x14ac:dyDescent="0.35">
      <c r="A39" s="179">
        <f t="shared" si="0"/>
        <v>1969</v>
      </c>
      <c r="B39" s="5">
        <v>19</v>
      </c>
      <c r="C39" s="134">
        <v>15229</v>
      </c>
      <c r="D39" s="155">
        <v>80</v>
      </c>
      <c r="E39" s="155">
        <f t="shared" si="6"/>
        <v>2049</v>
      </c>
      <c r="F39" s="156">
        <f t="shared" si="7"/>
        <v>46.008520084306262</v>
      </c>
      <c r="G39" s="155">
        <f t="shared" si="8"/>
        <v>51</v>
      </c>
      <c r="H39" s="158">
        <f t="shared" si="9"/>
        <v>5553.0533811474288</v>
      </c>
    </row>
    <row r="40" spans="1:8" x14ac:dyDescent="0.35">
      <c r="A40" s="179">
        <f t="shared" si="0"/>
        <v>1970</v>
      </c>
      <c r="B40" s="5">
        <v>200</v>
      </c>
      <c r="C40" s="134">
        <v>178929</v>
      </c>
      <c r="D40" s="155">
        <v>80</v>
      </c>
      <c r="E40" s="155">
        <f t="shared" si="6"/>
        <v>2050</v>
      </c>
      <c r="F40" s="156">
        <f t="shared" si="7"/>
        <v>540.5646129204041</v>
      </c>
      <c r="G40" s="155">
        <f t="shared" si="8"/>
        <v>50</v>
      </c>
      <c r="H40" s="158">
        <f t="shared" si="9"/>
        <v>62803.214752542153</v>
      </c>
    </row>
    <row r="41" spans="1:8" x14ac:dyDescent="0.35">
      <c r="A41" s="179">
        <f t="shared" si="0"/>
        <v>1971</v>
      </c>
      <c r="B41" s="5">
        <v>144</v>
      </c>
      <c r="C41" s="134">
        <v>95658</v>
      </c>
      <c r="D41" s="155">
        <v>80</v>
      </c>
      <c r="E41" s="155">
        <f t="shared" si="6"/>
        <v>2051</v>
      </c>
      <c r="F41" s="156">
        <f t="shared" si="7"/>
        <v>288.99356584309987</v>
      </c>
      <c r="G41" s="155">
        <f t="shared" si="8"/>
        <v>49</v>
      </c>
      <c r="H41" s="158">
        <f t="shared" si="9"/>
        <v>32308.575328293176</v>
      </c>
    </row>
    <row r="42" spans="1:8" x14ac:dyDescent="0.35">
      <c r="A42" s="179">
        <f t="shared" si="0"/>
        <v>1972</v>
      </c>
      <c r="B42" s="5">
        <v>29</v>
      </c>
      <c r="C42" s="134">
        <v>23235</v>
      </c>
      <c r="D42" s="155">
        <v>80</v>
      </c>
      <c r="E42" s="155">
        <f t="shared" si="6"/>
        <v>2052</v>
      </c>
      <c r="F42" s="156">
        <f t="shared" si="7"/>
        <v>70.195545614213401</v>
      </c>
      <c r="G42" s="155">
        <f t="shared" si="8"/>
        <v>48</v>
      </c>
      <c r="H42" s="158">
        <f t="shared" si="9"/>
        <v>7548.874451859514</v>
      </c>
    </row>
    <row r="43" spans="1:8" x14ac:dyDescent="0.35">
      <c r="A43" s="179">
        <f t="shared" si="0"/>
        <v>1973</v>
      </c>
      <c r="B43" s="5">
        <v>12</v>
      </c>
      <c r="C43" s="134">
        <v>6756</v>
      </c>
      <c r="D43" s="155">
        <v>80</v>
      </c>
      <c r="E43" s="155">
        <f t="shared" si="6"/>
        <v>2053</v>
      </c>
      <c r="F43" s="156">
        <f t="shared" si="7"/>
        <v>20.410635083693812</v>
      </c>
      <c r="G43" s="155">
        <f t="shared" si="8"/>
        <v>47</v>
      </c>
      <c r="H43" s="158">
        <f t="shared" si="9"/>
        <v>2110.6310348427392</v>
      </c>
    </row>
    <row r="44" spans="1:8" x14ac:dyDescent="0.35">
      <c r="A44" s="179">
        <f t="shared" si="0"/>
        <v>1974</v>
      </c>
      <c r="B44" s="5">
        <v>745</v>
      </c>
      <c r="C44" s="134">
        <v>583357</v>
      </c>
      <c r="D44" s="155">
        <v>80</v>
      </c>
      <c r="E44" s="155">
        <f t="shared" ref="E44:E90" si="10">A44+D44</f>
        <v>2054</v>
      </c>
      <c r="F44" s="156">
        <f t="shared" ref="F44:F90" si="11">C44*$F$2/(($F$2+1)*(($F$2+1)^D44-1))</f>
        <v>1762.3870412253361</v>
      </c>
      <c r="G44" s="155">
        <f t="shared" ref="G44:G90" si="12">IF(($H$2-A44)&lt;D44,$H$2-A44,D44)</f>
        <v>46</v>
      </c>
      <c r="H44" s="158">
        <f t="shared" ref="H44:H90" si="13">F44*($F$2+1)*((($F$2+1)^(G44)-1))/$F$2</f>
        <v>175175.10521201169</v>
      </c>
    </row>
    <row r="45" spans="1:8" x14ac:dyDescent="0.35">
      <c r="A45" s="179">
        <f t="shared" si="0"/>
        <v>1975</v>
      </c>
      <c r="B45" s="5">
        <v>1456</v>
      </c>
      <c r="C45" s="134">
        <v>1552750</v>
      </c>
      <c r="D45" s="155">
        <v>80</v>
      </c>
      <c r="E45" s="155">
        <f t="shared" si="10"/>
        <v>2055</v>
      </c>
      <c r="F45" s="156">
        <f t="shared" si="11"/>
        <v>4691.0322122861999</v>
      </c>
      <c r="G45" s="155">
        <f t="shared" si="12"/>
        <v>45</v>
      </c>
      <c r="H45" s="158">
        <f t="shared" si="13"/>
        <v>448000.41218634049</v>
      </c>
    </row>
    <row r="46" spans="1:8" x14ac:dyDescent="0.35">
      <c r="A46" s="179">
        <f t="shared" si="0"/>
        <v>1976</v>
      </c>
      <c r="B46" s="5">
        <v>174</v>
      </c>
      <c r="C46" s="134">
        <v>141593</v>
      </c>
      <c r="D46" s="155">
        <v>80</v>
      </c>
      <c r="E46" s="155">
        <f t="shared" si="10"/>
        <v>2056</v>
      </c>
      <c r="F46" s="156">
        <f t="shared" si="11"/>
        <v>427.7683619605474</v>
      </c>
      <c r="G46" s="155">
        <f t="shared" si="12"/>
        <v>44</v>
      </c>
      <c r="H46" s="158">
        <f t="shared" si="13"/>
        <v>39234.854865354922</v>
      </c>
    </row>
    <row r="47" spans="1:8" x14ac:dyDescent="0.35">
      <c r="A47" s="179">
        <f t="shared" si="0"/>
        <v>1977</v>
      </c>
      <c r="B47" s="5">
        <v>201</v>
      </c>
      <c r="C47" s="134">
        <v>137187</v>
      </c>
      <c r="D47" s="155">
        <v>80</v>
      </c>
      <c r="E47" s="155">
        <f t="shared" si="10"/>
        <v>2057</v>
      </c>
      <c r="F47" s="156">
        <f t="shared" si="11"/>
        <v>414.45734091573462</v>
      </c>
      <c r="G47" s="155">
        <f t="shared" si="12"/>
        <v>43</v>
      </c>
      <c r="H47" s="158">
        <f t="shared" si="13"/>
        <v>36492.309513634675</v>
      </c>
    </row>
    <row r="48" spans="1:8" x14ac:dyDescent="0.35">
      <c r="A48" s="179">
        <f t="shared" si="0"/>
        <v>1978</v>
      </c>
      <c r="B48" s="5">
        <v>395</v>
      </c>
      <c r="C48" s="134">
        <v>389379</v>
      </c>
      <c r="D48" s="155">
        <v>80</v>
      </c>
      <c r="E48" s="155">
        <f t="shared" si="10"/>
        <v>2058</v>
      </c>
      <c r="F48" s="156">
        <f t="shared" si="11"/>
        <v>1176.3577084448805</v>
      </c>
      <c r="G48" s="155">
        <f t="shared" si="12"/>
        <v>42</v>
      </c>
      <c r="H48" s="158">
        <f t="shared" si="13"/>
        <v>99383.277998988633</v>
      </c>
    </row>
    <row r="49" spans="1:8" x14ac:dyDescent="0.35">
      <c r="A49" s="179">
        <f t="shared" si="0"/>
        <v>1979</v>
      </c>
      <c r="B49" s="5">
        <v>475</v>
      </c>
      <c r="C49" s="134">
        <v>335419</v>
      </c>
      <c r="D49" s="155">
        <v>80</v>
      </c>
      <c r="E49" s="155">
        <f t="shared" si="10"/>
        <v>2059</v>
      </c>
      <c r="F49" s="156">
        <f t="shared" si="11"/>
        <v>1013.3384856627434</v>
      </c>
      <c r="G49" s="155">
        <f t="shared" si="12"/>
        <v>41</v>
      </c>
      <c r="H49" s="158">
        <f t="shared" si="13"/>
        <v>82103.923195272655</v>
      </c>
    </row>
    <row r="50" spans="1:8" x14ac:dyDescent="0.35">
      <c r="A50" s="179">
        <f t="shared" si="0"/>
        <v>1980</v>
      </c>
      <c r="B50" s="5">
        <v>404</v>
      </c>
      <c r="C50" s="134">
        <v>296505</v>
      </c>
      <c r="D50" s="155">
        <v>80</v>
      </c>
      <c r="E50" s="155">
        <f t="shared" si="10"/>
        <v>2060</v>
      </c>
      <c r="F50" s="156">
        <f t="shared" si="11"/>
        <v>895.77491940358698</v>
      </c>
      <c r="G50" s="155">
        <f t="shared" si="12"/>
        <v>40</v>
      </c>
      <c r="H50" s="158">
        <f t="shared" si="13"/>
        <v>69568.834081343724</v>
      </c>
    </row>
    <row r="51" spans="1:8" x14ac:dyDescent="0.35">
      <c r="A51" s="179">
        <f t="shared" si="0"/>
        <v>1981</v>
      </c>
      <c r="B51" s="5">
        <v>230</v>
      </c>
      <c r="C51" s="134">
        <v>175402</v>
      </c>
      <c r="D51" s="155">
        <v>80</v>
      </c>
      <c r="E51" s="155">
        <f t="shared" si="10"/>
        <v>2061</v>
      </c>
      <c r="F51" s="156">
        <f t="shared" si="11"/>
        <v>529.9091496373685</v>
      </c>
      <c r="G51" s="155">
        <f t="shared" si="12"/>
        <v>39</v>
      </c>
      <c r="H51" s="158">
        <f t="shared" si="13"/>
        <v>39425.908277223272</v>
      </c>
    </row>
    <row r="52" spans="1:8" x14ac:dyDescent="0.35">
      <c r="A52" s="179">
        <f t="shared" si="0"/>
        <v>1982</v>
      </c>
      <c r="B52" s="5">
        <v>1103</v>
      </c>
      <c r="C52" s="134">
        <v>876298</v>
      </c>
      <c r="D52" s="155">
        <v>80</v>
      </c>
      <c r="E52" s="155">
        <f t="shared" si="10"/>
        <v>2062</v>
      </c>
      <c r="F52" s="156">
        <f t="shared" si="11"/>
        <v>2647.3947161886799</v>
      </c>
      <c r="G52" s="155">
        <f t="shared" si="12"/>
        <v>38</v>
      </c>
      <c r="H52" s="158">
        <f t="shared" si="13"/>
        <v>188585.13139616704</v>
      </c>
    </row>
    <row r="53" spans="1:8" x14ac:dyDescent="0.35">
      <c r="A53" s="179">
        <f t="shared" si="0"/>
        <v>1983</v>
      </c>
      <c r="B53" s="5">
        <v>21</v>
      </c>
      <c r="C53" s="134">
        <v>13707</v>
      </c>
      <c r="D53" s="155">
        <v>80</v>
      </c>
      <c r="E53" s="155">
        <f t="shared" si="10"/>
        <v>2063</v>
      </c>
      <c r="F53" s="156">
        <f t="shared" si="11"/>
        <v>41.410387076996905</v>
      </c>
      <c r="G53" s="155">
        <f t="shared" si="12"/>
        <v>37</v>
      </c>
      <c r="H53" s="158">
        <f t="shared" si="13"/>
        <v>2822.5091773333429</v>
      </c>
    </row>
    <row r="54" spans="1:8" x14ac:dyDescent="0.35">
      <c r="A54" s="179">
        <f t="shared" si="0"/>
        <v>1984</v>
      </c>
      <c r="B54" s="5">
        <v>536</v>
      </c>
      <c r="C54" s="134">
        <v>362906</v>
      </c>
      <c r="D54" s="155">
        <v>80</v>
      </c>
      <c r="E54" s="155">
        <f t="shared" si="10"/>
        <v>2064</v>
      </c>
      <c r="F54" s="156">
        <f t="shared" si="11"/>
        <v>1096.3798010187961</v>
      </c>
      <c r="G54" s="155">
        <f t="shared" si="12"/>
        <v>36</v>
      </c>
      <c r="H54" s="158">
        <f t="shared" si="13"/>
        <v>71455.701199995805</v>
      </c>
    </row>
    <row r="55" spans="1:8" x14ac:dyDescent="0.35">
      <c r="A55" s="179">
        <f t="shared" si="0"/>
        <v>1985</v>
      </c>
      <c r="B55" s="5">
        <v>188</v>
      </c>
      <c r="C55" s="134">
        <v>192578</v>
      </c>
      <c r="D55" s="155">
        <v>80</v>
      </c>
      <c r="E55" s="155">
        <f t="shared" si="10"/>
        <v>2065</v>
      </c>
      <c r="F55" s="156">
        <f t="shared" si="11"/>
        <v>581.79977548069678</v>
      </c>
      <c r="G55" s="155">
        <f t="shared" si="12"/>
        <v>35</v>
      </c>
      <c r="H55" s="158">
        <f t="shared" si="13"/>
        <v>36232.1303922468</v>
      </c>
    </row>
    <row r="56" spans="1:8" x14ac:dyDescent="0.35">
      <c r="A56" s="179">
        <f t="shared" si="0"/>
        <v>1986</v>
      </c>
      <c r="B56" s="5">
        <v>0</v>
      </c>
      <c r="C56" s="134">
        <v>0</v>
      </c>
      <c r="D56" s="155">
        <v>80</v>
      </c>
      <c r="E56" s="155">
        <f t="shared" si="10"/>
        <v>2066</v>
      </c>
      <c r="F56" s="156">
        <f t="shared" si="11"/>
        <v>0</v>
      </c>
      <c r="G56" s="155">
        <f t="shared" si="12"/>
        <v>34</v>
      </c>
      <c r="H56" s="158">
        <f t="shared" si="13"/>
        <v>0</v>
      </c>
    </row>
    <row r="57" spans="1:8" x14ac:dyDescent="0.35">
      <c r="A57" s="179">
        <f t="shared" si="0"/>
        <v>1987</v>
      </c>
      <c r="B57" s="5">
        <v>42</v>
      </c>
      <c r="C57" s="134">
        <v>29554</v>
      </c>
      <c r="D57" s="155">
        <v>80</v>
      </c>
      <c r="E57" s="155">
        <f t="shared" si="10"/>
        <v>2067</v>
      </c>
      <c r="F57" s="156">
        <f t="shared" si="11"/>
        <v>89.285954597911029</v>
      </c>
      <c r="G57" s="155">
        <f t="shared" si="12"/>
        <v>33</v>
      </c>
      <c r="H57" s="158">
        <f t="shared" si="13"/>
        <v>5065.2079648174258</v>
      </c>
    </row>
    <row r="58" spans="1:8" x14ac:dyDescent="0.35">
      <c r="A58" s="179">
        <f t="shared" si="0"/>
        <v>1988</v>
      </c>
      <c r="B58" s="5">
        <v>83</v>
      </c>
      <c r="C58" s="134">
        <v>58615</v>
      </c>
      <c r="D58" s="155">
        <v>80</v>
      </c>
      <c r="E58" s="155">
        <f t="shared" si="10"/>
        <v>2068</v>
      </c>
      <c r="F58" s="156">
        <f t="shared" si="11"/>
        <v>177.08250080383553</v>
      </c>
      <c r="G58" s="155">
        <f t="shared" si="12"/>
        <v>32</v>
      </c>
      <c r="H58" s="158">
        <f t="shared" si="13"/>
        <v>9576.2393716735769</v>
      </c>
    </row>
    <row r="59" spans="1:8" x14ac:dyDescent="0.35">
      <c r="A59" s="179">
        <f t="shared" si="0"/>
        <v>1989</v>
      </c>
      <c r="B59" s="5">
        <v>84</v>
      </c>
      <c r="C59" s="134">
        <v>62967</v>
      </c>
      <c r="D59" s="155">
        <v>80</v>
      </c>
      <c r="E59" s="155">
        <f t="shared" si="10"/>
        <v>2069</v>
      </c>
      <c r="F59" s="156">
        <f t="shared" si="11"/>
        <v>190.23038178137188</v>
      </c>
      <c r="G59" s="155">
        <f t="shared" si="12"/>
        <v>31</v>
      </c>
      <c r="H59" s="158">
        <f t="shared" si="13"/>
        <v>9797.3894165930869</v>
      </c>
    </row>
    <row r="60" spans="1:8" x14ac:dyDescent="0.35">
      <c r="A60" s="179">
        <f t="shared" si="0"/>
        <v>1990</v>
      </c>
      <c r="B60" s="5">
        <v>2678</v>
      </c>
      <c r="C60" s="134">
        <v>3855097</v>
      </c>
      <c r="D60" s="155">
        <v>80</v>
      </c>
      <c r="E60" s="155">
        <f t="shared" si="10"/>
        <v>2070</v>
      </c>
      <c r="F60" s="156">
        <f t="shared" si="11"/>
        <v>11646.681184020539</v>
      </c>
      <c r="G60" s="155">
        <f t="shared" si="12"/>
        <v>30</v>
      </c>
      <c r="H60" s="158">
        <f t="shared" si="13"/>
        <v>570718.56989663851</v>
      </c>
    </row>
    <row r="61" spans="1:8" x14ac:dyDescent="0.35">
      <c r="A61" s="179">
        <f t="shared" si="0"/>
        <v>1991</v>
      </c>
      <c r="B61" s="5">
        <v>500</v>
      </c>
      <c r="C61" s="134">
        <v>843607</v>
      </c>
      <c r="D61" s="155">
        <v>80</v>
      </c>
      <c r="E61" s="155">
        <f t="shared" si="10"/>
        <v>2071</v>
      </c>
      <c r="F61" s="156">
        <f t="shared" si="11"/>
        <v>2548.6315321269517</v>
      </c>
      <c r="G61" s="155">
        <f t="shared" si="12"/>
        <v>29</v>
      </c>
      <c r="H61" s="158">
        <f t="shared" si="13"/>
        <v>118703.57309105305</v>
      </c>
    </row>
    <row r="62" spans="1:8" x14ac:dyDescent="0.35">
      <c r="A62" s="179">
        <f t="shared" si="0"/>
        <v>1992</v>
      </c>
      <c r="B62" s="5">
        <v>241</v>
      </c>
      <c r="C62" s="134">
        <v>255568</v>
      </c>
      <c r="D62" s="155">
        <v>80</v>
      </c>
      <c r="E62" s="155">
        <f t="shared" si="10"/>
        <v>2072</v>
      </c>
      <c r="F62" s="156">
        <f t="shared" si="11"/>
        <v>772.09964284627893</v>
      </c>
      <c r="G62" s="155">
        <f t="shared" si="12"/>
        <v>28</v>
      </c>
      <c r="H62" s="158">
        <f t="shared" si="13"/>
        <v>34141.35844673447</v>
      </c>
    </row>
    <row r="63" spans="1:8" x14ac:dyDescent="0.35">
      <c r="A63" s="179">
        <f t="shared" si="0"/>
        <v>1993</v>
      </c>
      <c r="B63" s="5">
        <v>407</v>
      </c>
      <c r="C63" s="134">
        <v>340190</v>
      </c>
      <c r="D63" s="155">
        <v>80</v>
      </c>
      <c r="E63" s="155">
        <f t="shared" si="10"/>
        <v>2073</v>
      </c>
      <c r="F63" s="156">
        <f t="shared" si="11"/>
        <v>1027.7522127178504</v>
      </c>
      <c r="G63" s="155">
        <f t="shared" si="12"/>
        <v>27</v>
      </c>
      <c r="H63" s="158">
        <f t="shared" si="13"/>
        <v>43094.598405933066</v>
      </c>
    </row>
    <row r="64" spans="1:8" x14ac:dyDescent="0.35">
      <c r="A64" s="179">
        <f t="shared" si="0"/>
        <v>1994</v>
      </c>
      <c r="B64" s="5">
        <v>107</v>
      </c>
      <c r="C64" s="134">
        <v>77390</v>
      </c>
      <c r="D64" s="155">
        <v>80</v>
      </c>
      <c r="E64" s="155">
        <f t="shared" si="10"/>
        <v>2074</v>
      </c>
      <c r="F64" s="156">
        <f t="shared" si="11"/>
        <v>233.80388530595974</v>
      </c>
      <c r="G64" s="155">
        <f t="shared" si="12"/>
        <v>26</v>
      </c>
      <c r="H64" s="158">
        <f t="shared" si="13"/>
        <v>9284.2666008191845</v>
      </c>
    </row>
    <row r="65" spans="1:8" x14ac:dyDescent="0.35">
      <c r="A65" s="179">
        <f t="shared" si="0"/>
        <v>1995</v>
      </c>
      <c r="B65" s="5">
        <v>304</v>
      </c>
      <c r="C65" s="134">
        <v>234076</v>
      </c>
      <c r="D65" s="155">
        <v>80</v>
      </c>
      <c r="E65" s="155">
        <f t="shared" si="10"/>
        <v>2075</v>
      </c>
      <c r="F65" s="156">
        <f t="shared" si="11"/>
        <v>707.16989607026539</v>
      </c>
      <c r="G65" s="155">
        <f t="shared" si="12"/>
        <v>25</v>
      </c>
      <c r="H65" s="158">
        <f t="shared" si="13"/>
        <v>26556.380986088207</v>
      </c>
    </row>
    <row r="66" spans="1:8" x14ac:dyDescent="0.35">
      <c r="A66" s="179">
        <f t="shared" si="0"/>
        <v>1996</v>
      </c>
      <c r="B66" s="5">
        <v>238</v>
      </c>
      <c r="C66" s="134">
        <v>163442</v>
      </c>
      <c r="D66" s="155">
        <v>80</v>
      </c>
      <c r="E66" s="155">
        <f t="shared" si="10"/>
        <v>2076</v>
      </c>
      <c r="F66" s="156">
        <f t="shared" si="11"/>
        <v>493.77664584799948</v>
      </c>
      <c r="G66" s="155">
        <f t="shared" si="12"/>
        <v>24</v>
      </c>
      <c r="H66" s="158">
        <f t="shared" si="13"/>
        <v>17508.956601059566</v>
      </c>
    </row>
    <row r="67" spans="1:8" x14ac:dyDescent="0.35">
      <c r="A67" s="179">
        <f t="shared" si="0"/>
        <v>1997</v>
      </c>
      <c r="B67" s="5">
        <v>214</v>
      </c>
      <c r="C67" s="134">
        <v>151053</v>
      </c>
      <c r="D67" s="155">
        <v>80</v>
      </c>
      <c r="E67" s="155">
        <f t="shared" si="10"/>
        <v>2077</v>
      </c>
      <c r="F67" s="156">
        <f t="shared" si="11"/>
        <v>456.34808485748988</v>
      </c>
      <c r="G67" s="155">
        <f t="shared" si="12"/>
        <v>23</v>
      </c>
      <c r="H67" s="158">
        <f t="shared" si="13"/>
        <v>15254.105666319412</v>
      </c>
    </row>
    <row r="68" spans="1:8" x14ac:dyDescent="0.35">
      <c r="A68" s="179">
        <f t="shared" si="0"/>
        <v>1998</v>
      </c>
      <c r="B68" s="5">
        <v>515</v>
      </c>
      <c r="C68" s="134">
        <v>351494</v>
      </c>
      <c r="D68" s="155">
        <v>80</v>
      </c>
      <c r="E68" s="155">
        <f t="shared" si="10"/>
        <v>2078</v>
      </c>
      <c r="F68" s="156">
        <f t="shared" si="11"/>
        <v>1061.9028668010469</v>
      </c>
      <c r="G68" s="155">
        <f t="shared" si="12"/>
        <v>22</v>
      </c>
      <c r="H68" s="158">
        <f t="shared" si="13"/>
        <v>33399.907374671289</v>
      </c>
    </row>
    <row r="69" spans="1:8" x14ac:dyDescent="0.35">
      <c r="A69" s="179">
        <f t="shared" ref="A69:A81" si="14">A70-1</f>
        <v>1999</v>
      </c>
      <c r="B69" s="5">
        <v>300</v>
      </c>
      <c r="C69" s="134">
        <v>222450</v>
      </c>
      <c r="D69" s="155">
        <v>80</v>
      </c>
      <c r="E69" s="155">
        <f t="shared" si="10"/>
        <v>2079</v>
      </c>
      <c r="F69" s="156">
        <f t="shared" si="11"/>
        <v>672.04644380812442</v>
      </c>
      <c r="G69" s="155">
        <f t="shared" si="12"/>
        <v>21</v>
      </c>
      <c r="H69" s="158">
        <f t="shared" si="13"/>
        <v>19850.088159038129</v>
      </c>
    </row>
    <row r="70" spans="1:8" x14ac:dyDescent="0.35">
      <c r="A70" s="179">
        <f t="shared" si="14"/>
        <v>2000</v>
      </c>
      <c r="B70" s="5">
        <v>1931</v>
      </c>
      <c r="C70" s="134">
        <v>3385172</v>
      </c>
      <c r="D70" s="155">
        <v>80</v>
      </c>
      <c r="E70" s="155">
        <f t="shared" si="10"/>
        <v>2080</v>
      </c>
      <c r="F70" s="156">
        <f t="shared" si="11"/>
        <v>10226.984959671101</v>
      </c>
      <c r="G70" s="155">
        <f t="shared" si="12"/>
        <v>20</v>
      </c>
      <c r="H70" s="158">
        <f t="shared" si="13"/>
        <v>283047.00323231908</v>
      </c>
    </row>
    <row r="71" spans="1:8" x14ac:dyDescent="0.35">
      <c r="A71" s="179">
        <f t="shared" si="14"/>
        <v>2001</v>
      </c>
      <c r="B71" s="5">
        <v>660</v>
      </c>
      <c r="C71" s="134">
        <v>1101878</v>
      </c>
      <c r="D71" s="155">
        <v>80</v>
      </c>
      <c r="E71" s="155">
        <f t="shared" si="10"/>
        <v>2081</v>
      </c>
      <c r="F71" s="156">
        <f t="shared" si="11"/>
        <v>3328.8972416741221</v>
      </c>
      <c r="G71" s="155">
        <f t="shared" si="12"/>
        <v>19</v>
      </c>
      <c r="H71" s="158">
        <f t="shared" si="13"/>
        <v>86119.81827744357</v>
      </c>
    </row>
    <row r="72" spans="1:8" x14ac:dyDescent="0.35">
      <c r="A72" s="179">
        <f t="shared" si="14"/>
        <v>2002</v>
      </c>
      <c r="B72" s="5">
        <v>127</v>
      </c>
      <c r="C72" s="134">
        <v>132515</v>
      </c>
      <c r="D72" s="155">
        <v>80</v>
      </c>
      <c r="E72" s="155">
        <f t="shared" si="10"/>
        <v>2082</v>
      </c>
      <c r="F72" s="156">
        <f t="shared" si="11"/>
        <v>400.34270398396768</v>
      </c>
      <c r="G72" s="155">
        <f t="shared" si="12"/>
        <v>18</v>
      </c>
      <c r="H72" s="158">
        <f t="shared" si="13"/>
        <v>9655.012321255148</v>
      </c>
    </row>
    <row r="73" spans="1:8" x14ac:dyDescent="0.35">
      <c r="A73" s="179">
        <f t="shared" si="14"/>
        <v>2003</v>
      </c>
      <c r="B73" s="5">
        <v>467</v>
      </c>
      <c r="C73" s="134">
        <v>287110</v>
      </c>
      <c r="D73" s="155">
        <v>80</v>
      </c>
      <c r="E73" s="155">
        <f t="shared" si="10"/>
        <v>2083</v>
      </c>
      <c r="F73" s="156">
        <f t="shared" si="11"/>
        <v>867.39156880984763</v>
      </c>
      <c r="G73" s="155">
        <f t="shared" si="12"/>
        <v>17</v>
      </c>
      <c r="H73" s="158">
        <f t="shared" si="13"/>
        <v>19442.092263616269</v>
      </c>
    </row>
    <row r="74" spans="1:8" x14ac:dyDescent="0.35">
      <c r="A74" s="179">
        <f t="shared" si="14"/>
        <v>2004</v>
      </c>
      <c r="B74" s="5">
        <v>130</v>
      </c>
      <c r="C74" s="134">
        <v>99294</v>
      </c>
      <c r="D74" s="155">
        <v>80</v>
      </c>
      <c r="E74" s="155">
        <f t="shared" si="10"/>
        <v>2084</v>
      </c>
      <c r="F74" s="156">
        <f t="shared" si="11"/>
        <v>299.9783303730452</v>
      </c>
      <c r="G74" s="155">
        <f t="shared" si="12"/>
        <v>16</v>
      </c>
      <c r="H74" s="158">
        <f t="shared" si="13"/>
        <v>6228.0264268561405</v>
      </c>
    </row>
    <row r="75" spans="1:8" x14ac:dyDescent="0.35">
      <c r="A75" s="179">
        <f t="shared" si="14"/>
        <v>2005</v>
      </c>
      <c r="B75" s="5">
        <v>294</v>
      </c>
      <c r="C75" s="134">
        <v>383731</v>
      </c>
      <c r="D75" s="155">
        <v>80</v>
      </c>
      <c r="E75" s="155">
        <f t="shared" si="10"/>
        <v>2085</v>
      </c>
      <c r="F75" s="156">
        <f t="shared" si="11"/>
        <v>1159.2944658527103</v>
      </c>
      <c r="G75" s="155">
        <f t="shared" si="12"/>
        <v>15</v>
      </c>
      <c r="H75" s="158">
        <f t="shared" si="13"/>
        <v>22208.466477904734</v>
      </c>
    </row>
    <row r="76" spans="1:8" x14ac:dyDescent="0.35">
      <c r="A76" s="179">
        <f t="shared" si="14"/>
        <v>2006</v>
      </c>
      <c r="B76" s="5">
        <v>673</v>
      </c>
      <c r="C76" s="134">
        <v>759309</v>
      </c>
      <c r="D76" s="155">
        <v>80</v>
      </c>
      <c r="E76" s="155">
        <f t="shared" si="10"/>
        <v>2086</v>
      </c>
      <c r="F76" s="156">
        <f t="shared" si="11"/>
        <v>2293.9578026590389</v>
      </c>
      <c r="G76" s="155">
        <f t="shared" si="12"/>
        <v>14</v>
      </c>
      <c r="H76" s="158">
        <f t="shared" si="13"/>
        <v>40371.16582870196</v>
      </c>
    </row>
    <row r="77" spans="1:8" x14ac:dyDescent="0.35">
      <c r="A77" s="179">
        <f t="shared" si="14"/>
        <v>2007</v>
      </c>
      <c r="B77" s="5">
        <v>511</v>
      </c>
      <c r="C77" s="134">
        <v>417869</v>
      </c>
      <c r="D77" s="155">
        <v>80</v>
      </c>
      <c r="E77" s="155">
        <f t="shared" si="10"/>
        <v>2087</v>
      </c>
      <c r="F77" s="156">
        <f t="shared" si="11"/>
        <v>1262.4291994949749</v>
      </c>
      <c r="G77" s="155">
        <f t="shared" si="12"/>
        <v>13</v>
      </c>
      <c r="H77" s="158">
        <f t="shared" si="13"/>
        <v>20307.845334444592</v>
      </c>
    </row>
    <row r="78" spans="1:8" x14ac:dyDescent="0.35">
      <c r="A78" s="179">
        <f t="shared" si="14"/>
        <v>2008</v>
      </c>
      <c r="B78" s="5">
        <v>312</v>
      </c>
      <c r="C78" s="134">
        <v>367135</v>
      </c>
      <c r="D78" s="155">
        <v>80</v>
      </c>
      <c r="E78" s="155">
        <f t="shared" si="10"/>
        <v>2088</v>
      </c>
      <c r="F78" s="156">
        <f t="shared" si="11"/>
        <v>1109.156085176425</v>
      </c>
      <c r="G78" s="155">
        <f t="shared" si="12"/>
        <v>12</v>
      </c>
      <c r="H78" s="158">
        <f t="shared" si="13"/>
        <v>16213.411227660565</v>
      </c>
    </row>
    <row r="79" spans="1:8" x14ac:dyDescent="0.35">
      <c r="A79" s="179">
        <f t="shared" si="14"/>
        <v>2009</v>
      </c>
      <c r="B79" s="5">
        <v>1267</v>
      </c>
      <c r="C79" s="134">
        <v>976218</v>
      </c>
      <c r="D79" s="155">
        <v>80</v>
      </c>
      <c r="E79" s="155">
        <f t="shared" si="10"/>
        <v>2089</v>
      </c>
      <c r="F79" s="156">
        <f t="shared" si="11"/>
        <v>2949.2642628971885</v>
      </c>
      <c r="G79" s="155">
        <f t="shared" si="12"/>
        <v>11</v>
      </c>
      <c r="H79" s="158">
        <f t="shared" si="13"/>
        <v>38906.78134093112</v>
      </c>
    </row>
    <row r="80" spans="1:8" x14ac:dyDescent="0.35">
      <c r="A80" s="179">
        <f t="shared" si="14"/>
        <v>2010</v>
      </c>
      <c r="B80" s="5">
        <v>720</v>
      </c>
      <c r="C80" s="134">
        <v>718786</v>
      </c>
      <c r="D80" s="155">
        <v>80</v>
      </c>
      <c r="E80" s="155">
        <f t="shared" si="10"/>
        <v>2090</v>
      </c>
      <c r="F80" s="156">
        <f t="shared" si="11"/>
        <v>2171.5332666175163</v>
      </c>
      <c r="G80" s="155">
        <f t="shared" si="12"/>
        <v>10</v>
      </c>
      <c r="H80" s="158">
        <f t="shared" si="13"/>
        <v>25641.021148027405</v>
      </c>
    </row>
    <row r="81" spans="1:8" x14ac:dyDescent="0.35">
      <c r="A81" s="179">
        <f t="shared" si="14"/>
        <v>2011</v>
      </c>
      <c r="B81" s="5">
        <v>369</v>
      </c>
      <c r="C81" s="134">
        <v>298445</v>
      </c>
      <c r="D81" s="155">
        <v>80</v>
      </c>
      <c r="E81" s="155">
        <f t="shared" si="10"/>
        <v>2091</v>
      </c>
      <c r="F81" s="156">
        <f t="shared" si="11"/>
        <v>901.63587737611022</v>
      </c>
      <c r="G81" s="155">
        <f t="shared" si="12"/>
        <v>9</v>
      </c>
      <c r="H81" s="158">
        <f t="shared" si="13"/>
        <v>9434.6090037556387</v>
      </c>
    </row>
    <row r="82" spans="1:8" x14ac:dyDescent="0.35">
      <c r="A82" s="179">
        <f t="shared" ref="A82:A88" si="15">A83-1</f>
        <v>2012</v>
      </c>
      <c r="B82" s="5">
        <v>53</v>
      </c>
      <c r="C82" s="134">
        <v>49645</v>
      </c>
      <c r="D82" s="155">
        <v>80</v>
      </c>
      <c r="E82" s="155">
        <f t="shared" si="10"/>
        <v>2092</v>
      </c>
      <c r="F82" s="156">
        <f t="shared" si="11"/>
        <v>149.98312296180865</v>
      </c>
      <c r="G82" s="155">
        <f t="shared" si="12"/>
        <v>8</v>
      </c>
      <c r="H82" s="158">
        <f t="shared" si="13"/>
        <v>1373.7113405623072</v>
      </c>
    </row>
    <row r="83" spans="1:8" x14ac:dyDescent="0.35">
      <c r="A83" s="179">
        <f t="shared" si="15"/>
        <v>2013</v>
      </c>
      <c r="B83" s="5">
        <v>133</v>
      </c>
      <c r="C83" s="134">
        <v>103251</v>
      </c>
      <c r="D83" s="155">
        <v>80</v>
      </c>
      <c r="E83" s="155">
        <f t="shared" si="10"/>
        <v>2093</v>
      </c>
      <c r="F83" s="156">
        <f t="shared" si="11"/>
        <v>311.93287196957812</v>
      </c>
      <c r="G83" s="155">
        <f t="shared" si="12"/>
        <v>7</v>
      </c>
      <c r="H83" s="158">
        <f t="shared" si="13"/>
        <v>2461.8790494569953</v>
      </c>
    </row>
    <row r="84" spans="1:8" x14ac:dyDescent="0.35">
      <c r="A84" s="179">
        <f t="shared" si="15"/>
        <v>2014</v>
      </c>
      <c r="B84" s="5">
        <v>0</v>
      </c>
      <c r="C84" s="134">
        <v>0</v>
      </c>
      <c r="D84" s="155">
        <v>80</v>
      </c>
      <c r="E84" s="155">
        <f t="shared" si="10"/>
        <v>2094</v>
      </c>
      <c r="F84" s="156">
        <f t="shared" si="11"/>
        <v>0</v>
      </c>
      <c r="G84" s="155">
        <f t="shared" si="12"/>
        <v>6</v>
      </c>
      <c r="H84" s="158">
        <f t="shared" si="13"/>
        <v>0</v>
      </c>
    </row>
    <row r="85" spans="1:8" x14ac:dyDescent="0.35">
      <c r="A85" s="179">
        <f t="shared" si="15"/>
        <v>2015</v>
      </c>
      <c r="B85" s="5">
        <v>101</v>
      </c>
      <c r="C85" s="134">
        <v>93347</v>
      </c>
      <c r="D85" s="155">
        <v>80</v>
      </c>
      <c r="E85" s="155">
        <f t="shared" si="10"/>
        <v>2095</v>
      </c>
      <c r="F85" s="156">
        <f t="shared" si="11"/>
        <v>282.01177518614065</v>
      </c>
      <c r="G85" s="155">
        <f t="shared" si="12"/>
        <v>5</v>
      </c>
      <c r="H85" s="158">
        <f t="shared" si="13"/>
        <v>1542.1559789168793</v>
      </c>
    </row>
    <row r="86" spans="1:8" x14ac:dyDescent="0.35">
      <c r="A86" s="179">
        <f t="shared" si="15"/>
        <v>2016</v>
      </c>
      <c r="B86" s="5">
        <v>22</v>
      </c>
      <c r="C86" s="134">
        <v>15142</v>
      </c>
      <c r="D86" s="155">
        <v>80</v>
      </c>
      <c r="E86" s="155">
        <f t="shared" si="10"/>
        <v>2096</v>
      </c>
      <c r="F86" s="156">
        <f t="shared" si="11"/>
        <v>45.745683309249813</v>
      </c>
      <c r="G86" s="155">
        <f t="shared" si="12"/>
        <v>4</v>
      </c>
      <c r="H86" s="158">
        <f t="shared" si="13"/>
        <v>197.12436210080756</v>
      </c>
    </row>
    <row r="87" spans="1:8" x14ac:dyDescent="0.35">
      <c r="A87" s="179">
        <f t="shared" si="15"/>
        <v>2017</v>
      </c>
      <c r="B87" s="5">
        <v>0</v>
      </c>
      <c r="C87" s="134">
        <v>0</v>
      </c>
      <c r="D87" s="155">
        <v>80</v>
      </c>
      <c r="E87" s="155">
        <f t="shared" si="10"/>
        <v>2097</v>
      </c>
      <c r="F87" s="156">
        <f t="shared" si="11"/>
        <v>0</v>
      </c>
      <c r="G87" s="155">
        <f t="shared" si="12"/>
        <v>3</v>
      </c>
      <c r="H87" s="158">
        <f t="shared" si="13"/>
        <v>0</v>
      </c>
    </row>
    <row r="88" spans="1:8" x14ac:dyDescent="0.35">
      <c r="A88" s="179">
        <f t="shared" si="15"/>
        <v>2018</v>
      </c>
      <c r="B88" s="5">
        <v>259</v>
      </c>
      <c r="C88" s="134">
        <v>246571</v>
      </c>
      <c r="D88" s="155">
        <v>80</v>
      </c>
      <c r="E88" s="155">
        <f t="shared" si="10"/>
        <v>2098</v>
      </c>
      <c r="F88" s="156">
        <f t="shared" si="11"/>
        <v>744.91869497061384</v>
      </c>
      <c r="G88" s="155">
        <f t="shared" si="12"/>
        <v>2</v>
      </c>
      <c r="H88" s="158">
        <f t="shared" si="13"/>
        <v>1557.5504993140553</v>
      </c>
    </row>
    <row r="89" spans="1:8" x14ac:dyDescent="0.35">
      <c r="A89" s="179">
        <f>A90-1</f>
        <v>2019</v>
      </c>
      <c r="B89" s="5">
        <v>451</v>
      </c>
      <c r="C89" s="134">
        <v>422923</v>
      </c>
      <c r="D89" s="155">
        <v>80</v>
      </c>
      <c r="E89" s="155">
        <f t="shared" si="10"/>
        <v>2099</v>
      </c>
      <c r="F89" s="156">
        <f t="shared" si="11"/>
        <v>1277.6979013471046</v>
      </c>
      <c r="G89" s="155">
        <f t="shared" si="12"/>
        <v>1</v>
      </c>
      <c r="H89" s="158">
        <f t="shared" si="13"/>
        <v>1316.0288383875188</v>
      </c>
    </row>
    <row r="90" spans="1:8" ht="15" thickBot="1" x14ac:dyDescent="0.4">
      <c r="A90" s="181">
        <f>Kostenkalkulation!E19</f>
        <v>2020</v>
      </c>
      <c r="B90" s="10">
        <v>90</v>
      </c>
      <c r="C90" s="135">
        <v>104048</v>
      </c>
      <c r="D90" s="159">
        <v>80</v>
      </c>
      <c r="E90" s="159">
        <f t="shared" si="10"/>
        <v>2100</v>
      </c>
      <c r="F90" s="160">
        <f t="shared" si="11"/>
        <v>314.34069851808374</v>
      </c>
      <c r="G90" s="159">
        <f t="shared" si="12"/>
        <v>0</v>
      </c>
      <c r="H90" s="162">
        <f t="shared" si="13"/>
        <v>0</v>
      </c>
    </row>
  </sheetData>
  <sheetProtection algorithmName="SHA-512" hashValue="6u3kwr+UwqTtZNBq082HMmBTvle6lwFbaZPJ/Y27gyavo8aVzcqEQNrcMWK426qNbj7CFJhKpYbnHd+IU00i+w==" saltValue="WtFUfTmwqMddc05iGBAIDA==" spinCount="100000" sheet="1" objects="1" scenarios="1"/>
  <pageMargins left="0.7" right="0.7" top="0.78740157499999996" bottom="0.78740157499999996" header="0.3" footer="0.3"/>
  <pageSetup paperSize="9" orientation="portrait" horizontalDpi="360" verticalDpi="360" r:id="rId1"/>
  <headerFooter differentFirst="1">
    <oddHeader>&amp;R&amp;G</oddHeader>
    <firstHeader>&amp;R&amp;G</first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1"/>
  <sheetViews>
    <sheetView view="pageLayout" zoomScaleNormal="80" workbookViewId="0"/>
  </sheetViews>
  <sheetFormatPr baseColWidth="10" defaultColWidth="11.453125" defaultRowHeight="14.5" x14ac:dyDescent="0.35"/>
  <cols>
    <col min="1" max="1" width="5.1796875" style="137" customWidth="1"/>
    <col min="2" max="2" width="35.453125" style="137" customWidth="1"/>
    <col min="3" max="3" width="11.7265625" style="137" customWidth="1"/>
    <col min="4" max="4" width="20.453125" style="137" customWidth="1"/>
    <col min="5" max="5" width="13.54296875" style="136" customWidth="1"/>
    <col min="6" max="6" width="18.7265625" style="137" customWidth="1"/>
    <col min="7" max="7" width="20.453125" style="137" customWidth="1"/>
    <col min="8" max="16384" width="11.453125" style="137"/>
  </cols>
  <sheetData>
    <row r="1" spans="1:7" ht="21" x14ac:dyDescent="0.5">
      <c r="A1" s="64" t="s">
        <v>150</v>
      </c>
      <c r="D1" s="138"/>
      <c r="F1" s="138"/>
    </row>
    <row r="2" spans="1:7" ht="16" thickBot="1" x14ac:dyDescent="0.4">
      <c r="A2" s="139" t="s">
        <v>101</v>
      </c>
      <c r="C2" s="140" t="s">
        <v>25</v>
      </c>
      <c r="D2" s="141">
        <f>Kostenkalkulation!E18</f>
        <v>0.03</v>
      </c>
      <c r="E2" s="140" t="s">
        <v>161</v>
      </c>
      <c r="F2" s="140">
        <f>Kostenkalkulation!E19</f>
        <v>2020</v>
      </c>
    </row>
    <row r="3" spans="1:7" ht="15" thickBot="1" x14ac:dyDescent="0.4">
      <c r="A3" s="143" t="s">
        <v>12</v>
      </c>
      <c r="B3" s="311"/>
      <c r="C3" s="311"/>
      <c r="D3" s="146">
        <f>SUM(D5:D69)</f>
        <v>15625998</v>
      </c>
      <c r="E3" s="144"/>
      <c r="F3" s="147">
        <f>SUM(F5:F69)</f>
        <v>13238174.195689188</v>
      </c>
    </row>
    <row r="4" spans="1:7" s="35" customFormat="1" ht="29" x14ac:dyDescent="0.35">
      <c r="A4" s="312" t="s">
        <v>0</v>
      </c>
      <c r="B4" s="313" t="s">
        <v>9</v>
      </c>
      <c r="C4" s="313" t="s">
        <v>10</v>
      </c>
      <c r="D4" s="313" t="s">
        <v>11</v>
      </c>
      <c r="E4" s="314" t="s">
        <v>28</v>
      </c>
      <c r="F4" s="315" t="s">
        <v>89</v>
      </c>
    </row>
    <row r="5" spans="1:7" x14ac:dyDescent="0.35">
      <c r="A5" s="30">
        <v>2020</v>
      </c>
      <c r="B5" s="31" t="s">
        <v>90</v>
      </c>
      <c r="C5" s="31" t="s">
        <v>26</v>
      </c>
      <c r="D5" s="134">
        <v>1715000</v>
      </c>
      <c r="E5" s="316">
        <f>A5-$F$2</f>
        <v>0</v>
      </c>
      <c r="F5" s="158">
        <f>D5/(1/1+$D$2)^E5</f>
        <v>1715000</v>
      </c>
      <c r="G5" s="136"/>
    </row>
    <row r="6" spans="1:7" x14ac:dyDescent="0.35">
      <c r="A6" s="3">
        <v>2020</v>
      </c>
      <c r="B6" s="4" t="s">
        <v>46</v>
      </c>
      <c r="C6" s="4" t="s">
        <v>26</v>
      </c>
      <c r="D6" s="134">
        <v>324250</v>
      </c>
      <c r="E6" s="316">
        <f t="shared" ref="E6:E18" si="0">A6-$F$2</f>
        <v>0</v>
      </c>
      <c r="F6" s="158">
        <f t="shared" ref="F6:F18" si="1">D6/(1/1+$D$2)^E6</f>
        <v>324250</v>
      </c>
      <c r="G6" s="136"/>
    </row>
    <row r="7" spans="1:7" x14ac:dyDescent="0.35">
      <c r="A7" s="6">
        <v>2020</v>
      </c>
      <c r="B7" s="7" t="s">
        <v>29</v>
      </c>
      <c r="C7" s="7" t="s">
        <v>26</v>
      </c>
      <c r="D7" s="208">
        <v>220000</v>
      </c>
      <c r="E7" s="316">
        <f t="shared" si="0"/>
        <v>0</v>
      </c>
      <c r="F7" s="158">
        <f t="shared" si="1"/>
        <v>220000</v>
      </c>
      <c r="G7" s="136"/>
    </row>
    <row r="8" spans="1:7" x14ac:dyDescent="0.35">
      <c r="A8" s="3">
        <v>2021</v>
      </c>
      <c r="B8" s="4" t="s">
        <v>27</v>
      </c>
      <c r="C8" s="4" t="s">
        <v>26</v>
      </c>
      <c r="D8" s="134">
        <v>190722</v>
      </c>
      <c r="E8" s="316">
        <f t="shared" si="0"/>
        <v>1</v>
      </c>
      <c r="F8" s="158">
        <f t="shared" si="1"/>
        <v>185166.99029126213</v>
      </c>
      <c r="G8" s="136"/>
    </row>
    <row r="9" spans="1:7" x14ac:dyDescent="0.35">
      <c r="A9" s="3">
        <v>2021</v>
      </c>
      <c r="B9" s="4" t="s">
        <v>46</v>
      </c>
      <c r="C9" s="4" t="s">
        <v>26</v>
      </c>
      <c r="D9" s="134">
        <v>324250</v>
      </c>
      <c r="E9" s="316">
        <f t="shared" si="0"/>
        <v>1</v>
      </c>
      <c r="F9" s="158">
        <f t="shared" si="1"/>
        <v>314805.82524271845</v>
      </c>
      <c r="G9" s="136"/>
    </row>
    <row r="10" spans="1:7" x14ac:dyDescent="0.35">
      <c r="A10" s="3">
        <v>2021</v>
      </c>
      <c r="B10" s="4" t="s">
        <v>47</v>
      </c>
      <c r="C10" s="4" t="s">
        <v>26</v>
      </c>
      <c r="D10" s="134">
        <v>84100</v>
      </c>
      <c r="E10" s="316">
        <f t="shared" si="0"/>
        <v>1</v>
      </c>
      <c r="F10" s="158">
        <f t="shared" si="1"/>
        <v>81650.485436893199</v>
      </c>
      <c r="G10" s="136"/>
    </row>
    <row r="11" spans="1:7" x14ac:dyDescent="0.35">
      <c r="A11" s="6">
        <v>2021</v>
      </c>
      <c r="B11" s="7" t="s">
        <v>44</v>
      </c>
      <c r="C11" s="7" t="s">
        <v>26</v>
      </c>
      <c r="D11" s="208">
        <v>130000</v>
      </c>
      <c r="E11" s="316">
        <f t="shared" si="0"/>
        <v>1</v>
      </c>
      <c r="F11" s="158">
        <f t="shared" si="1"/>
        <v>126213.59223300971</v>
      </c>
      <c r="G11" s="136"/>
    </row>
    <row r="12" spans="1:7" x14ac:dyDescent="0.35">
      <c r="A12" s="6">
        <v>2021</v>
      </c>
      <c r="B12" s="7" t="s">
        <v>29</v>
      </c>
      <c r="C12" s="7" t="s">
        <v>26</v>
      </c>
      <c r="D12" s="208">
        <v>305000</v>
      </c>
      <c r="E12" s="316">
        <f t="shared" si="0"/>
        <v>1</v>
      </c>
      <c r="F12" s="158">
        <f t="shared" si="1"/>
        <v>296116.50485436892</v>
      </c>
      <c r="G12" s="136"/>
    </row>
    <row r="13" spans="1:7" x14ac:dyDescent="0.35">
      <c r="A13" s="3">
        <v>2022</v>
      </c>
      <c r="B13" s="4" t="s">
        <v>27</v>
      </c>
      <c r="C13" s="4" t="s">
        <v>26</v>
      </c>
      <c r="D13" s="134">
        <v>190722</v>
      </c>
      <c r="E13" s="316">
        <f t="shared" si="0"/>
        <v>2</v>
      </c>
      <c r="F13" s="158">
        <f t="shared" si="1"/>
        <v>179773.7769818079</v>
      </c>
      <c r="G13" s="136"/>
    </row>
    <row r="14" spans="1:7" x14ac:dyDescent="0.35">
      <c r="A14" s="3">
        <v>2022</v>
      </c>
      <c r="B14" s="4" t="s">
        <v>48</v>
      </c>
      <c r="C14" s="4" t="s">
        <v>26</v>
      </c>
      <c r="D14" s="134">
        <v>171375</v>
      </c>
      <c r="E14" s="316">
        <f t="shared" si="0"/>
        <v>2</v>
      </c>
      <c r="F14" s="158">
        <f t="shared" si="1"/>
        <v>161537.37392779716</v>
      </c>
      <c r="G14" s="136"/>
    </row>
    <row r="15" spans="1:7" x14ac:dyDescent="0.35">
      <c r="A15" s="3">
        <v>2022</v>
      </c>
      <c r="B15" s="4" t="s">
        <v>46</v>
      </c>
      <c r="C15" s="4" t="s">
        <v>26</v>
      </c>
      <c r="D15" s="134">
        <v>324250</v>
      </c>
      <c r="E15" s="316">
        <f t="shared" si="0"/>
        <v>2</v>
      </c>
      <c r="F15" s="158">
        <f t="shared" si="1"/>
        <v>305636.72353661986</v>
      </c>
      <c r="G15" s="136"/>
    </row>
    <row r="16" spans="1:7" x14ac:dyDescent="0.35">
      <c r="A16" s="3">
        <v>2022</v>
      </c>
      <c r="B16" s="4" t="s">
        <v>47</v>
      </c>
      <c r="C16" s="4" t="s">
        <v>26</v>
      </c>
      <c r="D16" s="134">
        <v>84100</v>
      </c>
      <c r="E16" s="316">
        <f t="shared" si="0"/>
        <v>2</v>
      </c>
      <c r="F16" s="158">
        <f t="shared" si="1"/>
        <v>79272.315958148742</v>
      </c>
      <c r="G16" s="136"/>
    </row>
    <row r="17" spans="1:7" x14ac:dyDescent="0.35">
      <c r="A17" s="6">
        <v>2022</v>
      </c>
      <c r="B17" s="7" t="s">
        <v>44</v>
      </c>
      <c r="C17" s="7" t="s">
        <v>26</v>
      </c>
      <c r="D17" s="208">
        <v>130000</v>
      </c>
      <c r="E17" s="316">
        <f t="shared" si="0"/>
        <v>2</v>
      </c>
      <c r="F17" s="158">
        <f t="shared" si="1"/>
        <v>122537.46818738808</v>
      </c>
      <c r="G17" s="136"/>
    </row>
    <row r="18" spans="1:7" x14ac:dyDescent="0.35">
      <c r="A18" s="6">
        <v>2022</v>
      </c>
      <c r="B18" s="7" t="s">
        <v>29</v>
      </c>
      <c r="C18" s="7" t="s">
        <v>26</v>
      </c>
      <c r="D18" s="208">
        <v>300000</v>
      </c>
      <c r="E18" s="316">
        <f t="shared" si="0"/>
        <v>2</v>
      </c>
      <c r="F18" s="158">
        <f t="shared" si="1"/>
        <v>282778.7727401263</v>
      </c>
      <c r="G18" s="136"/>
    </row>
    <row r="19" spans="1:7" x14ac:dyDescent="0.35">
      <c r="A19" s="3">
        <v>2023</v>
      </c>
      <c r="B19" s="4" t="s">
        <v>27</v>
      </c>
      <c r="C19" s="4" t="s">
        <v>26</v>
      </c>
      <c r="D19" s="134">
        <v>190722</v>
      </c>
      <c r="E19" s="316">
        <f t="shared" ref="E19:E69" si="2">A19-$F$2</f>
        <v>3</v>
      </c>
      <c r="F19" s="158">
        <f t="shared" ref="F19:F69" si="3">D19/(1/1+$D$2)^E19</f>
        <v>174537.64755515329</v>
      </c>
      <c r="G19" s="136"/>
    </row>
    <row r="20" spans="1:7" x14ac:dyDescent="0.35">
      <c r="A20" s="3">
        <v>2023</v>
      </c>
      <c r="B20" s="4" t="s">
        <v>48</v>
      </c>
      <c r="C20" s="4" t="s">
        <v>26</v>
      </c>
      <c r="D20" s="134">
        <v>171375</v>
      </c>
      <c r="E20" s="316">
        <f t="shared" si="2"/>
        <v>3</v>
      </c>
      <c r="F20" s="158">
        <f t="shared" si="3"/>
        <v>156832.40187164771</v>
      </c>
      <c r="G20" s="136"/>
    </row>
    <row r="21" spans="1:7" x14ac:dyDescent="0.35">
      <c r="A21" s="3">
        <v>2023</v>
      </c>
      <c r="B21" s="4" t="s">
        <v>46</v>
      </c>
      <c r="C21" s="4" t="s">
        <v>26</v>
      </c>
      <c r="D21" s="134">
        <v>324250</v>
      </c>
      <c r="E21" s="316">
        <f t="shared" si="2"/>
        <v>3</v>
      </c>
      <c r="F21" s="158">
        <f t="shared" si="3"/>
        <v>296734.68304526201</v>
      </c>
      <c r="G21" s="136"/>
    </row>
    <row r="22" spans="1:7" x14ac:dyDescent="0.35">
      <c r="A22" s="3">
        <v>2023</v>
      </c>
      <c r="B22" s="4" t="s">
        <v>47</v>
      </c>
      <c r="C22" s="4" t="s">
        <v>26</v>
      </c>
      <c r="D22" s="134">
        <v>84100</v>
      </c>
      <c r="E22" s="316">
        <f t="shared" si="2"/>
        <v>3</v>
      </c>
      <c r="F22" s="158">
        <f t="shared" si="3"/>
        <v>76963.413551600723</v>
      </c>
      <c r="G22" s="136"/>
    </row>
    <row r="23" spans="1:7" x14ac:dyDescent="0.35">
      <c r="A23" s="6">
        <v>2023</v>
      </c>
      <c r="B23" s="7" t="s">
        <v>29</v>
      </c>
      <c r="C23" s="7" t="s">
        <v>26</v>
      </c>
      <c r="D23" s="208">
        <v>415000</v>
      </c>
      <c r="E23" s="316">
        <f t="shared" si="2"/>
        <v>3</v>
      </c>
      <c r="F23" s="158">
        <f t="shared" si="3"/>
        <v>379783.78863156121</v>
      </c>
      <c r="G23" s="136"/>
    </row>
    <row r="24" spans="1:7" x14ac:dyDescent="0.35">
      <c r="A24" s="3">
        <v>2024</v>
      </c>
      <c r="B24" s="4" t="s">
        <v>27</v>
      </c>
      <c r="C24" s="4" t="s">
        <v>26</v>
      </c>
      <c r="D24" s="134">
        <v>190722</v>
      </c>
      <c r="E24" s="316">
        <f t="shared" si="2"/>
        <v>4</v>
      </c>
      <c r="F24" s="158">
        <f t="shared" si="3"/>
        <v>169454.02675257603</v>
      </c>
      <c r="G24" s="136"/>
    </row>
    <row r="25" spans="1:7" x14ac:dyDescent="0.35">
      <c r="A25" s="3">
        <v>2024</v>
      </c>
      <c r="B25" s="4" t="s">
        <v>48</v>
      </c>
      <c r="C25" s="4" t="s">
        <v>26</v>
      </c>
      <c r="D25" s="134">
        <v>171375</v>
      </c>
      <c r="E25" s="316">
        <f t="shared" si="2"/>
        <v>4</v>
      </c>
      <c r="F25" s="158">
        <f t="shared" si="3"/>
        <v>152264.46783655119</v>
      </c>
      <c r="G25" s="136"/>
    </row>
    <row r="26" spans="1:7" x14ac:dyDescent="0.35">
      <c r="A26" s="3">
        <v>2024</v>
      </c>
      <c r="B26" s="4" t="s">
        <v>46</v>
      </c>
      <c r="C26" s="4" t="s">
        <v>26</v>
      </c>
      <c r="D26" s="134">
        <v>324250</v>
      </c>
      <c r="E26" s="316">
        <f t="shared" si="2"/>
        <v>4</v>
      </c>
      <c r="F26" s="158">
        <f t="shared" si="3"/>
        <v>288091.92528666212</v>
      </c>
      <c r="G26" s="136"/>
    </row>
    <row r="27" spans="1:7" x14ac:dyDescent="0.35">
      <c r="A27" s="3">
        <v>2024</v>
      </c>
      <c r="B27" s="4" t="s">
        <v>47</v>
      </c>
      <c r="C27" s="4" t="s">
        <v>26</v>
      </c>
      <c r="D27" s="134">
        <v>84100</v>
      </c>
      <c r="E27" s="316">
        <f t="shared" si="2"/>
        <v>4</v>
      </c>
      <c r="F27" s="158">
        <f t="shared" si="3"/>
        <v>74721.760729709436</v>
      </c>
      <c r="G27" s="136"/>
    </row>
    <row r="28" spans="1:7" x14ac:dyDescent="0.35">
      <c r="A28" s="6">
        <v>2024</v>
      </c>
      <c r="B28" s="7" t="s">
        <v>29</v>
      </c>
      <c r="C28" s="7" t="s">
        <v>26</v>
      </c>
      <c r="D28" s="208">
        <v>300000</v>
      </c>
      <c r="E28" s="316">
        <f t="shared" si="2"/>
        <v>4</v>
      </c>
      <c r="F28" s="158">
        <f t="shared" si="3"/>
        <v>266546.1143747067</v>
      </c>
      <c r="G28" s="136"/>
    </row>
    <row r="29" spans="1:7" x14ac:dyDescent="0.35">
      <c r="A29" s="3">
        <v>2025</v>
      </c>
      <c r="B29" s="4" t="s">
        <v>27</v>
      </c>
      <c r="C29" s="4" t="s">
        <v>26</v>
      </c>
      <c r="D29" s="134">
        <v>190722</v>
      </c>
      <c r="E29" s="316">
        <f t="shared" si="2"/>
        <v>5</v>
      </c>
      <c r="F29" s="158">
        <f t="shared" si="3"/>
        <v>164518.47257531655</v>
      </c>
      <c r="G29" s="136"/>
    </row>
    <row r="30" spans="1:7" x14ac:dyDescent="0.35">
      <c r="A30" s="3">
        <v>2025</v>
      </c>
      <c r="B30" s="4" t="s">
        <v>48</v>
      </c>
      <c r="C30" s="4" t="s">
        <v>26</v>
      </c>
      <c r="D30" s="134">
        <v>171375</v>
      </c>
      <c r="E30" s="316">
        <f t="shared" si="2"/>
        <v>5</v>
      </c>
      <c r="F30" s="158">
        <f t="shared" si="3"/>
        <v>147829.58042383613</v>
      </c>
      <c r="G30" s="136"/>
    </row>
    <row r="31" spans="1:7" x14ac:dyDescent="0.35">
      <c r="A31" s="3">
        <v>2025</v>
      </c>
      <c r="B31" s="4" t="s">
        <v>46</v>
      </c>
      <c r="C31" s="4" t="s">
        <v>26</v>
      </c>
      <c r="D31" s="134">
        <v>324250</v>
      </c>
      <c r="E31" s="316">
        <f t="shared" si="2"/>
        <v>5</v>
      </c>
      <c r="F31" s="158">
        <f t="shared" si="3"/>
        <v>279700.89833656524</v>
      </c>
      <c r="G31" s="136"/>
    </row>
    <row r="32" spans="1:7" x14ac:dyDescent="0.35">
      <c r="A32" s="3">
        <v>2025</v>
      </c>
      <c r="B32" s="4" t="s">
        <v>47</v>
      </c>
      <c r="C32" s="4" t="s">
        <v>26</v>
      </c>
      <c r="D32" s="134">
        <v>84100</v>
      </c>
      <c r="E32" s="316">
        <f t="shared" si="2"/>
        <v>5</v>
      </c>
      <c r="F32" s="158">
        <f t="shared" si="3"/>
        <v>72545.398766708196</v>
      </c>
      <c r="G32" s="136"/>
    </row>
    <row r="33" spans="1:7" x14ac:dyDescent="0.35">
      <c r="A33" s="6">
        <v>2025</v>
      </c>
      <c r="B33" s="7" t="s">
        <v>29</v>
      </c>
      <c r="C33" s="7" t="s">
        <v>26</v>
      </c>
      <c r="D33" s="208">
        <v>300000</v>
      </c>
      <c r="E33" s="316">
        <f t="shared" si="2"/>
        <v>5</v>
      </c>
      <c r="F33" s="158">
        <f t="shared" si="3"/>
        <v>258782.63531524924</v>
      </c>
      <c r="G33" s="136"/>
    </row>
    <row r="34" spans="1:7" x14ac:dyDescent="0.35">
      <c r="A34" s="3">
        <v>2026</v>
      </c>
      <c r="B34" s="4" t="s">
        <v>27</v>
      </c>
      <c r="C34" s="4" t="s">
        <v>26</v>
      </c>
      <c r="D34" s="134">
        <v>190722</v>
      </c>
      <c r="E34" s="316">
        <f t="shared" si="2"/>
        <v>6</v>
      </c>
      <c r="F34" s="158">
        <f t="shared" si="3"/>
        <v>159726.67240321994</v>
      </c>
      <c r="G34" s="136"/>
    </row>
    <row r="35" spans="1:7" x14ac:dyDescent="0.35">
      <c r="A35" s="3">
        <v>2026</v>
      </c>
      <c r="B35" s="4" t="s">
        <v>48</v>
      </c>
      <c r="C35" s="4" t="s">
        <v>26</v>
      </c>
      <c r="D35" s="134">
        <v>171375</v>
      </c>
      <c r="E35" s="316">
        <f t="shared" si="2"/>
        <v>6</v>
      </c>
      <c r="F35" s="158">
        <f t="shared" si="3"/>
        <v>143523.86448916126</v>
      </c>
      <c r="G35" s="136"/>
    </row>
    <row r="36" spans="1:7" x14ac:dyDescent="0.35">
      <c r="A36" s="3">
        <v>2026</v>
      </c>
      <c r="B36" s="4" t="s">
        <v>46</v>
      </c>
      <c r="C36" s="4" t="s">
        <v>26</v>
      </c>
      <c r="D36" s="134">
        <v>324250</v>
      </c>
      <c r="E36" s="316">
        <f t="shared" si="2"/>
        <v>6</v>
      </c>
      <c r="F36" s="158">
        <f t="shared" si="3"/>
        <v>271554.27022967493</v>
      </c>
      <c r="G36" s="136"/>
    </row>
    <row r="37" spans="1:7" x14ac:dyDescent="0.35">
      <c r="A37" s="3">
        <v>2026</v>
      </c>
      <c r="B37" s="4" t="s">
        <v>47</v>
      </c>
      <c r="C37" s="4" t="s">
        <v>26</v>
      </c>
      <c r="D37" s="134">
        <v>84100</v>
      </c>
      <c r="E37" s="316">
        <f t="shared" si="2"/>
        <v>6</v>
      </c>
      <c r="F37" s="158">
        <f t="shared" si="3"/>
        <v>70432.425987095339</v>
      </c>
      <c r="G37" s="136"/>
    </row>
    <row r="38" spans="1:7" x14ac:dyDescent="0.35">
      <c r="A38" s="6">
        <v>2026</v>
      </c>
      <c r="B38" s="7" t="s">
        <v>29</v>
      </c>
      <c r="C38" s="7" t="s">
        <v>26</v>
      </c>
      <c r="D38" s="208">
        <v>415000</v>
      </c>
      <c r="E38" s="316">
        <f t="shared" si="2"/>
        <v>6</v>
      </c>
      <c r="F38" s="158">
        <f t="shared" si="3"/>
        <v>347555.96652371658</v>
      </c>
      <c r="G38" s="136"/>
    </row>
    <row r="39" spans="1:7" x14ac:dyDescent="0.35">
      <c r="A39" s="3">
        <v>2027</v>
      </c>
      <c r="B39" s="4" t="s">
        <v>27</v>
      </c>
      <c r="C39" s="4" t="s">
        <v>26</v>
      </c>
      <c r="D39" s="134">
        <v>190722</v>
      </c>
      <c r="E39" s="316">
        <f t="shared" si="2"/>
        <v>7</v>
      </c>
      <c r="F39" s="158">
        <f t="shared" si="3"/>
        <v>155074.43922642712</v>
      </c>
      <c r="G39" s="136"/>
    </row>
    <row r="40" spans="1:7" x14ac:dyDescent="0.35">
      <c r="A40" s="3">
        <v>2027</v>
      </c>
      <c r="B40" s="4" t="s">
        <v>48</v>
      </c>
      <c r="C40" s="4" t="s">
        <v>26</v>
      </c>
      <c r="D40" s="134">
        <v>171375</v>
      </c>
      <c r="E40" s="316">
        <f t="shared" si="2"/>
        <v>7</v>
      </c>
      <c r="F40" s="158">
        <f t="shared" si="3"/>
        <v>139343.55775646726</v>
      </c>
      <c r="G40" s="136"/>
    </row>
    <row r="41" spans="1:7" x14ac:dyDescent="0.35">
      <c r="A41" s="3">
        <v>2027</v>
      </c>
      <c r="B41" s="4" t="s">
        <v>46</v>
      </c>
      <c r="C41" s="4" t="s">
        <v>26</v>
      </c>
      <c r="D41" s="134">
        <v>324250</v>
      </c>
      <c r="E41" s="316">
        <f t="shared" si="2"/>
        <v>7</v>
      </c>
      <c r="F41" s="158">
        <f t="shared" si="3"/>
        <v>263644.92255308246</v>
      </c>
      <c r="G41" s="136"/>
    </row>
    <row r="42" spans="1:7" x14ac:dyDescent="0.35">
      <c r="A42" s="3">
        <v>2027</v>
      </c>
      <c r="B42" s="4" t="s">
        <v>47</v>
      </c>
      <c r="C42" s="4" t="s">
        <v>26</v>
      </c>
      <c r="D42" s="134">
        <v>84100</v>
      </c>
      <c r="E42" s="316">
        <f t="shared" si="2"/>
        <v>7</v>
      </c>
      <c r="F42" s="158">
        <f t="shared" si="3"/>
        <v>68380.996103976053</v>
      </c>
      <c r="G42" s="136"/>
    </row>
    <row r="43" spans="1:7" x14ac:dyDescent="0.35">
      <c r="A43" s="3">
        <v>2028</v>
      </c>
      <c r="B43" s="4" t="s">
        <v>27</v>
      </c>
      <c r="C43" s="4" t="s">
        <v>26</v>
      </c>
      <c r="D43" s="134">
        <v>190722</v>
      </c>
      <c r="E43" s="316">
        <f t="shared" si="2"/>
        <v>8</v>
      </c>
      <c r="F43" s="158">
        <f t="shared" si="3"/>
        <v>150557.70798682247</v>
      </c>
      <c r="G43" s="136"/>
    </row>
    <row r="44" spans="1:7" x14ac:dyDescent="0.35">
      <c r="A44" s="3">
        <v>2028</v>
      </c>
      <c r="B44" s="4" t="s">
        <v>48</v>
      </c>
      <c r="C44" s="4" t="s">
        <v>26</v>
      </c>
      <c r="D44" s="134">
        <v>171375</v>
      </c>
      <c r="E44" s="316">
        <f t="shared" si="2"/>
        <v>8</v>
      </c>
      <c r="F44" s="158">
        <f t="shared" si="3"/>
        <v>135285.00753055073</v>
      </c>
      <c r="G44" s="136"/>
    </row>
    <row r="45" spans="1:7" x14ac:dyDescent="0.35">
      <c r="A45" s="3">
        <v>2028</v>
      </c>
      <c r="B45" s="4" t="s">
        <v>46</v>
      </c>
      <c r="C45" s="4" t="s">
        <v>26</v>
      </c>
      <c r="D45" s="134">
        <v>324250</v>
      </c>
      <c r="E45" s="316">
        <f t="shared" si="2"/>
        <v>8</v>
      </c>
      <c r="F45" s="158">
        <f t="shared" si="3"/>
        <v>255965.94422629368</v>
      </c>
      <c r="G45" s="136"/>
    </row>
    <row r="46" spans="1:7" x14ac:dyDescent="0.35">
      <c r="A46" s="3">
        <v>2028</v>
      </c>
      <c r="B46" s="4" t="s">
        <v>47</v>
      </c>
      <c r="C46" s="4" t="s">
        <v>26</v>
      </c>
      <c r="D46" s="134">
        <v>84100</v>
      </c>
      <c r="E46" s="316">
        <f t="shared" si="2"/>
        <v>8</v>
      </c>
      <c r="F46" s="158">
        <f t="shared" si="3"/>
        <v>66389.316605802</v>
      </c>
      <c r="G46" s="136"/>
    </row>
    <row r="47" spans="1:7" x14ac:dyDescent="0.35">
      <c r="A47" s="3">
        <v>2029</v>
      </c>
      <c r="B47" s="4" t="s">
        <v>91</v>
      </c>
      <c r="C47" s="4" t="s">
        <v>26</v>
      </c>
      <c r="D47" s="134">
        <v>293000</v>
      </c>
      <c r="E47" s="316">
        <f t="shared" si="2"/>
        <v>9</v>
      </c>
      <c r="F47" s="158">
        <f t="shared" si="3"/>
        <v>224560.10257668269</v>
      </c>
      <c r="G47" s="136"/>
    </row>
    <row r="48" spans="1:7" x14ac:dyDescent="0.35">
      <c r="A48" s="3">
        <v>2029</v>
      </c>
      <c r="B48" s="4" t="s">
        <v>27</v>
      </c>
      <c r="C48" s="4" t="s">
        <v>26</v>
      </c>
      <c r="D48" s="134">
        <v>190722</v>
      </c>
      <c r="E48" s="316">
        <f t="shared" si="2"/>
        <v>9</v>
      </c>
      <c r="F48" s="158">
        <f t="shared" si="3"/>
        <v>146172.53202604121</v>
      </c>
      <c r="G48" s="136"/>
    </row>
    <row r="49" spans="1:7" x14ac:dyDescent="0.35">
      <c r="A49" s="3">
        <v>2029</v>
      </c>
      <c r="B49" s="4" t="s">
        <v>48</v>
      </c>
      <c r="C49" s="4" t="s">
        <v>26</v>
      </c>
      <c r="D49" s="134">
        <v>171375</v>
      </c>
      <c r="E49" s="316">
        <f t="shared" si="2"/>
        <v>9</v>
      </c>
      <c r="F49" s="158">
        <f t="shared" si="3"/>
        <v>131344.66750538908</v>
      </c>
      <c r="G49" s="136"/>
    </row>
    <row r="50" spans="1:7" x14ac:dyDescent="0.35">
      <c r="A50" s="3">
        <v>2029</v>
      </c>
      <c r="B50" s="4" t="s">
        <v>46</v>
      </c>
      <c r="C50" s="4" t="s">
        <v>26</v>
      </c>
      <c r="D50" s="134">
        <v>324250</v>
      </c>
      <c r="E50" s="316">
        <f t="shared" si="2"/>
        <v>9</v>
      </c>
      <c r="F50" s="158">
        <f t="shared" si="3"/>
        <v>248510.62546242104</v>
      </c>
      <c r="G50" s="136"/>
    </row>
    <row r="51" spans="1:7" x14ac:dyDescent="0.35">
      <c r="A51" s="3">
        <v>2029</v>
      </c>
      <c r="B51" s="4" t="s">
        <v>47</v>
      </c>
      <c r="C51" s="4" t="s">
        <v>26</v>
      </c>
      <c r="D51" s="134">
        <v>84100</v>
      </c>
      <c r="E51" s="316">
        <f t="shared" si="2"/>
        <v>9</v>
      </c>
      <c r="F51" s="158">
        <f t="shared" si="3"/>
        <v>64455.647190099029</v>
      </c>
      <c r="G51" s="136"/>
    </row>
    <row r="52" spans="1:7" x14ac:dyDescent="0.35">
      <c r="A52" s="3">
        <v>2029</v>
      </c>
      <c r="B52" s="4" t="s">
        <v>100</v>
      </c>
      <c r="C52" s="4" t="s">
        <v>26</v>
      </c>
      <c r="D52" s="134">
        <v>344000</v>
      </c>
      <c r="E52" s="316">
        <f t="shared" ref="E52" si="4">A52-$F$2</f>
        <v>9</v>
      </c>
      <c r="F52" s="158">
        <f t="shared" ref="F52" si="5">D52/(1/1+$D$2)^E52</f>
        <v>263647.35592620767</v>
      </c>
      <c r="G52" s="136"/>
    </row>
    <row r="53" spans="1:7" x14ac:dyDescent="0.35">
      <c r="A53" s="3">
        <v>2029</v>
      </c>
      <c r="B53" s="4" t="s">
        <v>93</v>
      </c>
      <c r="C53" s="4" t="s">
        <v>26</v>
      </c>
      <c r="D53" s="134">
        <v>469000</v>
      </c>
      <c r="E53" s="316">
        <f t="shared" si="2"/>
        <v>9</v>
      </c>
      <c r="F53" s="158">
        <f t="shared" si="3"/>
        <v>359449.44746916101</v>
      </c>
      <c r="G53" s="136"/>
    </row>
    <row r="54" spans="1:7" x14ac:dyDescent="0.35">
      <c r="A54" s="3">
        <v>2029</v>
      </c>
      <c r="B54" s="4" t="s">
        <v>94</v>
      </c>
      <c r="C54" s="4" t="s">
        <v>26</v>
      </c>
      <c r="D54" s="134">
        <v>904000</v>
      </c>
      <c r="E54" s="316">
        <f t="shared" si="2"/>
        <v>9</v>
      </c>
      <c r="F54" s="158">
        <f t="shared" si="3"/>
        <v>692840.72603863874</v>
      </c>
      <c r="G54" s="136"/>
    </row>
    <row r="55" spans="1:7" x14ac:dyDescent="0.35">
      <c r="A55" s="3">
        <v>2030</v>
      </c>
      <c r="B55" s="4" t="s">
        <v>95</v>
      </c>
      <c r="C55" s="4" t="s">
        <v>26</v>
      </c>
      <c r="D55" s="134">
        <v>142625</v>
      </c>
      <c r="E55" s="316">
        <f t="shared" si="2"/>
        <v>10</v>
      </c>
      <c r="F55" s="158">
        <f t="shared" si="3"/>
        <v>106126.39461214544</v>
      </c>
      <c r="G55" s="136"/>
    </row>
    <row r="56" spans="1:7" x14ac:dyDescent="0.35">
      <c r="A56" s="3">
        <v>2030</v>
      </c>
      <c r="B56" s="4" t="s">
        <v>47</v>
      </c>
      <c r="C56" s="4" t="s">
        <v>26</v>
      </c>
      <c r="D56" s="134">
        <v>84100</v>
      </c>
      <c r="E56" s="316">
        <f t="shared" si="2"/>
        <v>10</v>
      </c>
      <c r="F56" s="158">
        <f t="shared" si="3"/>
        <v>62578.298242814592</v>
      </c>
      <c r="G56" s="136"/>
    </row>
    <row r="57" spans="1:7" x14ac:dyDescent="0.35">
      <c r="A57" s="3">
        <v>2031</v>
      </c>
      <c r="B57" s="4" t="s">
        <v>95</v>
      </c>
      <c r="C57" s="4" t="s">
        <v>26</v>
      </c>
      <c r="D57" s="134">
        <v>142625</v>
      </c>
      <c r="E57" s="316">
        <f t="shared" si="2"/>
        <v>11</v>
      </c>
      <c r="F57" s="158">
        <f t="shared" si="3"/>
        <v>103035.33457489847</v>
      </c>
      <c r="G57" s="136"/>
    </row>
    <row r="58" spans="1:7" x14ac:dyDescent="0.35">
      <c r="A58" s="3">
        <v>2031</v>
      </c>
      <c r="B58" s="4" t="s">
        <v>47</v>
      </c>
      <c r="C58" s="4" t="s">
        <v>26</v>
      </c>
      <c r="D58" s="134">
        <v>84100</v>
      </c>
      <c r="E58" s="316">
        <f t="shared" si="2"/>
        <v>11</v>
      </c>
      <c r="F58" s="158">
        <f t="shared" si="3"/>
        <v>60755.629361955907</v>
      </c>
      <c r="G58" s="136"/>
    </row>
    <row r="59" spans="1:7" x14ac:dyDescent="0.35">
      <c r="A59" s="3">
        <v>2032</v>
      </c>
      <c r="B59" s="4" t="s">
        <v>95</v>
      </c>
      <c r="C59" s="4" t="s">
        <v>26</v>
      </c>
      <c r="D59" s="134">
        <v>142625</v>
      </c>
      <c r="E59" s="316">
        <f t="shared" si="2"/>
        <v>12</v>
      </c>
      <c r="F59" s="158">
        <f t="shared" si="3"/>
        <v>100034.30541252281</v>
      </c>
      <c r="G59" s="136"/>
    </row>
    <row r="60" spans="1:7" x14ac:dyDescent="0.35">
      <c r="A60" s="3">
        <v>2032</v>
      </c>
      <c r="B60" s="4" t="s">
        <v>47</v>
      </c>
      <c r="C60" s="4" t="s">
        <v>26</v>
      </c>
      <c r="D60" s="134">
        <v>84100</v>
      </c>
      <c r="E60" s="316">
        <f t="shared" si="2"/>
        <v>12</v>
      </c>
      <c r="F60" s="158">
        <f t="shared" si="3"/>
        <v>58986.047924229046</v>
      </c>
      <c r="G60" s="136"/>
    </row>
    <row r="61" spans="1:7" x14ac:dyDescent="0.35">
      <c r="A61" s="3">
        <v>2033</v>
      </c>
      <c r="B61" s="4" t="s">
        <v>95</v>
      </c>
      <c r="C61" s="4" t="s">
        <v>26</v>
      </c>
      <c r="D61" s="134">
        <v>142625</v>
      </c>
      <c r="E61" s="316">
        <f t="shared" si="2"/>
        <v>13</v>
      </c>
      <c r="F61" s="158">
        <f t="shared" si="3"/>
        <v>97120.684866526994</v>
      </c>
      <c r="G61" s="136"/>
    </row>
    <row r="62" spans="1:7" x14ac:dyDescent="0.35">
      <c r="A62" s="3">
        <v>2033</v>
      </c>
      <c r="B62" s="4" t="s">
        <v>47</v>
      </c>
      <c r="C62" s="4" t="s">
        <v>26</v>
      </c>
      <c r="D62" s="134">
        <v>84100</v>
      </c>
      <c r="E62" s="316">
        <f t="shared" si="2"/>
        <v>13</v>
      </c>
      <c r="F62" s="158">
        <f t="shared" si="3"/>
        <v>57268.007693426262</v>
      </c>
      <c r="G62" s="136"/>
    </row>
    <row r="63" spans="1:7" x14ac:dyDescent="0.35">
      <c r="A63" s="3">
        <v>2034</v>
      </c>
      <c r="B63" s="4" t="s">
        <v>47</v>
      </c>
      <c r="C63" s="4" t="s">
        <v>26</v>
      </c>
      <c r="D63" s="134">
        <v>84100</v>
      </c>
      <c r="E63" s="316">
        <f t="shared" si="2"/>
        <v>14</v>
      </c>
      <c r="F63" s="158">
        <f t="shared" si="3"/>
        <v>55600.007469345881</v>
      </c>
      <c r="G63" s="136"/>
    </row>
    <row r="64" spans="1:7" x14ac:dyDescent="0.35">
      <c r="A64" s="3">
        <v>2034</v>
      </c>
      <c r="B64" s="4" t="s">
        <v>96</v>
      </c>
      <c r="C64" s="4" t="s">
        <v>26</v>
      </c>
      <c r="D64" s="134">
        <v>163000</v>
      </c>
      <c r="E64" s="316">
        <f t="shared" si="2"/>
        <v>14</v>
      </c>
      <c r="F64" s="158">
        <f>D64/(1/1+$D$2)^E64</f>
        <v>107762.20234843493</v>
      </c>
      <c r="G64" s="136"/>
    </row>
    <row r="65" spans="1:7" x14ac:dyDescent="0.35">
      <c r="A65" s="3">
        <v>2035</v>
      </c>
      <c r="B65" s="4" t="s">
        <v>47</v>
      </c>
      <c r="C65" s="4" t="s">
        <v>26</v>
      </c>
      <c r="D65" s="134">
        <v>84100</v>
      </c>
      <c r="E65" s="316">
        <f t="shared" si="2"/>
        <v>15</v>
      </c>
      <c r="F65" s="158">
        <f t="shared" si="3"/>
        <v>53980.589776063956</v>
      </c>
      <c r="G65" s="136"/>
    </row>
    <row r="66" spans="1:7" x14ac:dyDescent="0.35">
      <c r="A66" s="3">
        <v>2035</v>
      </c>
      <c r="B66" s="4" t="s">
        <v>97</v>
      </c>
      <c r="C66" s="4" t="s">
        <v>26</v>
      </c>
      <c r="D66" s="134">
        <v>373500</v>
      </c>
      <c r="E66" s="316">
        <f t="shared" si="2"/>
        <v>15</v>
      </c>
      <c r="F66" s="158">
        <f t="shared" si="3"/>
        <v>239735.43735267405</v>
      </c>
      <c r="G66" s="136"/>
    </row>
    <row r="67" spans="1:7" x14ac:dyDescent="0.35">
      <c r="A67" s="3">
        <v>2036</v>
      </c>
      <c r="B67" s="4" t="s">
        <v>97</v>
      </c>
      <c r="C67" s="4" t="s">
        <v>26</v>
      </c>
      <c r="D67" s="134">
        <v>373500</v>
      </c>
      <c r="E67" s="316">
        <f t="shared" si="2"/>
        <v>16</v>
      </c>
      <c r="F67" s="158">
        <f t="shared" si="3"/>
        <v>232752.85179871271</v>
      </c>
      <c r="G67" s="136"/>
    </row>
    <row r="68" spans="1:7" x14ac:dyDescent="0.35">
      <c r="A68" s="3">
        <v>2037</v>
      </c>
      <c r="B68" s="4" t="s">
        <v>98</v>
      </c>
      <c r="C68" s="4" t="s">
        <v>26</v>
      </c>
      <c r="D68" s="134">
        <v>72000</v>
      </c>
      <c r="E68" s="316">
        <f t="shared" si="2"/>
        <v>17</v>
      </c>
      <c r="F68" s="158">
        <f t="shared" si="3"/>
        <v>43561.184100823528</v>
      </c>
      <c r="G68" s="136"/>
    </row>
    <row r="69" spans="1:7" ht="15" thickBot="1" x14ac:dyDescent="0.4">
      <c r="A69" s="8">
        <v>2037</v>
      </c>
      <c r="B69" s="9" t="s">
        <v>99</v>
      </c>
      <c r="C69" s="9" t="s">
        <v>26</v>
      </c>
      <c r="D69" s="135">
        <v>242000</v>
      </c>
      <c r="E69" s="317">
        <f t="shared" si="2"/>
        <v>17</v>
      </c>
      <c r="F69" s="162">
        <f t="shared" si="3"/>
        <v>146413.97989443463</v>
      </c>
      <c r="G69" s="136"/>
    </row>
    <row r="70" spans="1:7" x14ac:dyDescent="0.35">
      <c r="F70" s="136"/>
      <c r="G70" s="136"/>
    </row>
    <row r="71" spans="1:7" x14ac:dyDescent="0.35">
      <c r="F71" s="136"/>
      <c r="G71" s="136"/>
    </row>
  </sheetData>
  <sheetProtection algorithmName="SHA-512" hashValue="yIL1cvCBEMakQbgezgBWGPZQXa9jKb+V/jc2EgEVz1zDqxKicZSuS92UVbn1vDcspP5C130d6kDVhVCtUYadtg==" saltValue="awvEimu0z8S+dHSM2OF2GA==" spinCount="100000" sheet="1" objects="1" scenarios="1"/>
  <pageMargins left="0.7" right="0.7" top="0.78740157499999996" bottom="0.78740157499999996" header="0.3" footer="0.3"/>
  <pageSetup paperSize="9" orientation="portrait" verticalDpi="0" r:id="rId1"/>
  <headerFooter differentFirst="1">
    <oddHeader>&amp;R&amp;G</oddHeader>
    <firstHeader>&amp;R&amp;G</first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3"/>
  <sheetViews>
    <sheetView view="pageLayout" topLeftCell="A43" zoomScaleNormal="80" workbookViewId="0">
      <selection activeCell="B50" sqref="B50"/>
    </sheetView>
  </sheetViews>
  <sheetFormatPr baseColWidth="10" defaultColWidth="11.453125" defaultRowHeight="14.5" x14ac:dyDescent="0.35"/>
  <cols>
    <col min="1" max="1" width="11.453125" style="137"/>
    <col min="2" max="2" width="62.54296875" style="137" customWidth="1"/>
    <col min="3" max="3" width="21.26953125" style="137" customWidth="1"/>
    <col min="4" max="16384" width="11.453125" style="137"/>
  </cols>
  <sheetData>
    <row r="1" spans="1:3" ht="21" x14ac:dyDescent="0.5">
      <c r="A1" s="64" t="s">
        <v>138</v>
      </c>
      <c r="C1" s="138"/>
    </row>
    <row r="2" spans="1:3" ht="16" thickBot="1" x14ac:dyDescent="0.4">
      <c r="A2" s="139" t="s">
        <v>101</v>
      </c>
    </row>
    <row r="3" spans="1:3" ht="15" thickBot="1" x14ac:dyDescent="0.4">
      <c r="A3" s="203" t="s">
        <v>12</v>
      </c>
      <c r="B3" s="204"/>
      <c r="C3" s="147">
        <f>SUM(C5:C103)</f>
        <v>16791998</v>
      </c>
    </row>
    <row r="4" spans="1:3" ht="29" x14ac:dyDescent="0.35">
      <c r="A4" s="205" t="s">
        <v>0</v>
      </c>
      <c r="B4" s="206" t="s">
        <v>9</v>
      </c>
      <c r="C4" s="207" t="s">
        <v>30</v>
      </c>
    </row>
    <row r="5" spans="1:3" x14ac:dyDescent="0.35">
      <c r="A5" s="32">
        <v>2020</v>
      </c>
      <c r="B5" s="33" t="s">
        <v>90</v>
      </c>
      <c r="C5" s="201">
        <v>1715000</v>
      </c>
    </row>
    <row r="6" spans="1:3" x14ac:dyDescent="0.35">
      <c r="A6" s="12">
        <v>2020</v>
      </c>
      <c r="B6" s="13" t="s">
        <v>46</v>
      </c>
      <c r="C6" s="201">
        <v>324250</v>
      </c>
    </row>
    <row r="7" spans="1:3" x14ac:dyDescent="0.35">
      <c r="A7" s="12">
        <v>2021</v>
      </c>
      <c r="B7" s="13" t="s">
        <v>102</v>
      </c>
      <c r="C7" s="201">
        <v>103200</v>
      </c>
    </row>
    <row r="8" spans="1:3" x14ac:dyDescent="0.35">
      <c r="A8" s="12">
        <v>2021</v>
      </c>
      <c r="B8" s="13" t="s">
        <v>27</v>
      </c>
      <c r="C8" s="201">
        <v>190722</v>
      </c>
    </row>
    <row r="9" spans="1:3" x14ac:dyDescent="0.35">
      <c r="A9" s="12">
        <v>2021</v>
      </c>
      <c r="B9" s="13" t="s">
        <v>46</v>
      </c>
      <c r="C9" s="201">
        <v>324250</v>
      </c>
    </row>
    <row r="10" spans="1:3" x14ac:dyDescent="0.35">
      <c r="A10" s="12">
        <v>2021</v>
      </c>
      <c r="B10" s="13" t="s">
        <v>47</v>
      </c>
      <c r="C10" s="201">
        <v>84100</v>
      </c>
    </row>
    <row r="11" spans="1:3" x14ac:dyDescent="0.35">
      <c r="A11" s="12">
        <v>2022</v>
      </c>
      <c r="B11" s="13" t="s">
        <v>103</v>
      </c>
      <c r="C11" s="201">
        <v>412000</v>
      </c>
    </row>
    <row r="12" spans="1:3" x14ac:dyDescent="0.35">
      <c r="A12" s="12">
        <v>2022</v>
      </c>
      <c r="B12" s="13" t="s">
        <v>104</v>
      </c>
      <c r="C12" s="201">
        <v>273000</v>
      </c>
    </row>
    <row r="13" spans="1:3" x14ac:dyDescent="0.35">
      <c r="A13" s="12">
        <v>2022</v>
      </c>
      <c r="B13" s="13" t="s">
        <v>102</v>
      </c>
      <c r="C13" s="201">
        <v>103200</v>
      </c>
    </row>
    <row r="14" spans="1:3" x14ac:dyDescent="0.35">
      <c r="A14" s="12">
        <v>2022</v>
      </c>
      <c r="B14" s="13" t="s">
        <v>27</v>
      </c>
      <c r="C14" s="201">
        <v>190722</v>
      </c>
    </row>
    <row r="15" spans="1:3" x14ac:dyDescent="0.35">
      <c r="A15" s="12">
        <v>2022</v>
      </c>
      <c r="B15" s="13" t="s">
        <v>48</v>
      </c>
      <c r="C15" s="201">
        <v>171375</v>
      </c>
    </row>
    <row r="16" spans="1:3" x14ac:dyDescent="0.35">
      <c r="A16" s="12">
        <v>2022</v>
      </c>
      <c r="B16" s="13" t="s">
        <v>46</v>
      </c>
      <c r="C16" s="201">
        <v>324250</v>
      </c>
    </row>
    <row r="17" spans="1:3" x14ac:dyDescent="0.35">
      <c r="A17" s="12">
        <v>2022</v>
      </c>
      <c r="B17" s="13" t="s">
        <v>47</v>
      </c>
      <c r="C17" s="201">
        <v>84100</v>
      </c>
    </row>
    <row r="18" spans="1:3" x14ac:dyDescent="0.35">
      <c r="A18" s="12">
        <v>2023</v>
      </c>
      <c r="B18" s="13" t="s">
        <v>102</v>
      </c>
      <c r="C18" s="201">
        <v>103200</v>
      </c>
    </row>
    <row r="19" spans="1:3" x14ac:dyDescent="0.35">
      <c r="A19" s="12">
        <v>2023</v>
      </c>
      <c r="B19" s="13" t="s">
        <v>27</v>
      </c>
      <c r="C19" s="201">
        <v>190722</v>
      </c>
    </row>
    <row r="20" spans="1:3" x14ac:dyDescent="0.35">
      <c r="A20" s="12">
        <v>2023</v>
      </c>
      <c r="B20" s="13" t="s">
        <v>48</v>
      </c>
      <c r="C20" s="201">
        <v>171375</v>
      </c>
    </row>
    <row r="21" spans="1:3" x14ac:dyDescent="0.35">
      <c r="A21" s="12">
        <v>2023</v>
      </c>
      <c r="B21" s="13" t="s">
        <v>46</v>
      </c>
      <c r="C21" s="201">
        <v>324250</v>
      </c>
    </row>
    <row r="22" spans="1:3" x14ac:dyDescent="0.35">
      <c r="A22" s="12">
        <v>2023</v>
      </c>
      <c r="B22" s="13" t="s">
        <v>47</v>
      </c>
      <c r="C22" s="201">
        <v>84100</v>
      </c>
    </row>
    <row r="23" spans="1:3" x14ac:dyDescent="0.35">
      <c r="A23" s="12">
        <v>2024</v>
      </c>
      <c r="B23" s="13" t="s">
        <v>102</v>
      </c>
      <c r="C23" s="201">
        <v>103200</v>
      </c>
    </row>
    <row r="24" spans="1:3" x14ac:dyDescent="0.35">
      <c r="A24" s="12">
        <v>2024</v>
      </c>
      <c r="B24" s="13" t="s">
        <v>27</v>
      </c>
      <c r="C24" s="201">
        <v>190722</v>
      </c>
    </row>
    <row r="25" spans="1:3" x14ac:dyDescent="0.35">
      <c r="A25" s="12">
        <v>2024</v>
      </c>
      <c r="B25" s="13" t="s">
        <v>48</v>
      </c>
      <c r="C25" s="201">
        <v>171375</v>
      </c>
    </row>
    <row r="26" spans="1:3" x14ac:dyDescent="0.35">
      <c r="A26" s="12">
        <v>2024</v>
      </c>
      <c r="B26" s="13" t="s">
        <v>46</v>
      </c>
      <c r="C26" s="201">
        <v>324250</v>
      </c>
    </row>
    <row r="27" spans="1:3" x14ac:dyDescent="0.35">
      <c r="A27" s="12">
        <v>2024</v>
      </c>
      <c r="B27" s="13" t="s">
        <v>47</v>
      </c>
      <c r="C27" s="201">
        <v>84100</v>
      </c>
    </row>
    <row r="28" spans="1:3" x14ac:dyDescent="0.35">
      <c r="A28" s="12">
        <v>2025</v>
      </c>
      <c r="B28" s="13" t="s">
        <v>102</v>
      </c>
      <c r="C28" s="201">
        <v>103200</v>
      </c>
    </row>
    <row r="29" spans="1:3" x14ac:dyDescent="0.35">
      <c r="A29" s="12">
        <v>2025</v>
      </c>
      <c r="B29" s="13" t="s">
        <v>27</v>
      </c>
      <c r="C29" s="201">
        <v>190722</v>
      </c>
    </row>
    <row r="30" spans="1:3" x14ac:dyDescent="0.35">
      <c r="A30" s="12">
        <v>2025</v>
      </c>
      <c r="B30" s="13" t="s">
        <v>48</v>
      </c>
      <c r="C30" s="201">
        <v>171375</v>
      </c>
    </row>
    <row r="31" spans="1:3" x14ac:dyDescent="0.35">
      <c r="A31" s="12">
        <v>2025</v>
      </c>
      <c r="B31" s="13" t="s">
        <v>46</v>
      </c>
      <c r="C31" s="201">
        <v>324250</v>
      </c>
    </row>
    <row r="32" spans="1:3" x14ac:dyDescent="0.35">
      <c r="A32" s="12">
        <v>2025</v>
      </c>
      <c r="B32" s="13" t="s">
        <v>47</v>
      </c>
      <c r="C32" s="201">
        <v>84100</v>
      </c>
    </row>
    <row r="33" spans="1:3" x14ac:dyDescent="0.35">
      <c r="A33" s="12">
        <v>2026</v>
      </c>
      <c r="B33" s="13" t="s">
        <v>102</v>
      </c>
      <c r="C33" s="201">
        <v>103200</v>
      </c>
    </row>
    <row r="34" spans="1:3" x14ac:dyDescent="0.35">
      <c r="A34" s="12">
        <v>2026</v>
      </c>
      <c r="B34" s="13" t="s">
        <v>27</v>
      </c>
      <c r="C34" s="201">
        <v>190722</v>
      </c>
    </row>
    <row r="35" spans="1:3" x14ac:dyDescent="0.35">
      <c r="A35" s="12">
        <v>2026</v>
      </c>
      <c r="B35" s="13" t="s">
        <v>48</v>
      </c>
      <c r="C35" s="201">
        <v>171375</v>
      </c>
    </row>
    <row r="36" spans="1:3" x14ac:dyDescent="0.35">
      <c r="A36" s="12">
        <v>2026</v>
      </c>
      <c r="B36" s="13" t="s">
        <v>46</v>
      </c>
      <c r="C36" s="201">
        <v>324250</v>
      </c>
    </row>
    <row r="37" spans="1:3" x14ac:dyDescent="0.35">
      <c r="A37" s="12">
        <v>2026</v>
      </c>
      <c r="B37" s="13" t="s">
        <v>47</v>
      </c>
      <c r="C37" s="201">
        <v>84100</v>
      </c>
    </row>
    <row r="38" spans="1:3" x14ac:dyDescent="0.35">
      <c r="A38" s="12">
        <v>2027</v>
      </c>
      <c r="B38" s="13" t="s">
        <v>102</v>
      </c>
      <c r="C38" s="201">
        <v>103200</v>
      </c>
    </row>
    <row r="39" spans="1:3" x14ac:dyDescent="0.35">
      <c r="A39" s="12">
        <v>2027</v>
      </c>
      <c r="B39" s="13" t="s">
        <v>27</v>
      </c>
      <c r="C39" s="201">
        <v>190722</v>
      </c>
    </row>
    <row r="40" spans="1:3" x14ac:dyDescent="0.35">
      <c r="A40" s="12">
        <v>2027</v>
      </c>
      <c r="B40" s="13" t="s">
        <v>48</v>
      </c>
      <c r="C40" s="201">
        <v>171375</v>
      </c>
    </row>
    <row r="41" spans="1:3" x14ac:dyDescent="0.35">
      <c r="A41" s="12">
        <v>2027</v>
      </c>
      <c r="B41" s="13" t="s">
        <v>46</v>
      </c>
      <c r="C41" s="201">
        <v>324250</v>
      </c>
    </row>
    <row r="42" spans="1:3" x14ac:dyDescent="0.35">
      <c r="A42" s="12">
        <v>2027</v>
      </c>
      <c r="B42" s="13" t="s">
        <v>47</v>
      </c>
      <c r="C42" s="201">
        <v>84100</v>
      </c>
    </row>
    <row r="43" spans="1:3" x14ac:dyDescent="0.35">
      <c r="A43" s="12">
        <v>2028</v>
      </c>
      <c r="B43" s="13" t="s">
        <v>102</v>
      </c>
      <c r="C43" s="201">
        <v>103200</v>
      </c>
    </row>
    <row r="44" spans="1:3" x14ac:dyDescent="0.35">
      <c r="A44" s="12">
        <v>2028</v>
      </c>
      <c r="B44" s="13" t="s">
        <v>27</v>
      </c>
      <c r="C44" s="201">
        <v>190722</v>
      </c>
    </row>
    <row r="45" spans="1:3" x14ac:dyDescent="0.35">
      <c r="A45" s="12">
        <v>2028</v>
      </c>
      <c r="B45" s="13" t="s">
        <v>48</v>
      </c>
      <c r="C45" s="201">
        <v>171375</v>
      </c>
    </row>
    <row r="46" spans="1:3" x14ac:dyDescent="0.35">
      <c r="A46" s="12">
        <v>2028</v>
      </c>
      <c r="B46" s="13" t="s">
        <v>46</v>
      </c>
      <c r="C46" s="201">
        <v>324250</v>
      </c>
    </row>
    <row r="47" spans="1:3" x14ac:dyDescent="0.35">
      <c r="A47" s="12">
        <v>2028</v>
      </c>
      <c r="B47" s="13" t="s">
        <v>47</v>
      </c>
      <c r="C47" s="201">
        <v>84100</v>
      </c>
    </row>
    <row r="48" spans="1:3" x14ac:dyDescent="0.35">
      <c r="A48" s="12">
        <v>2029</v>
      </c>
      <c r="B48" s="13" t="s">
        <v>105</v>
      </c>
      <c r="C48" s="201">
        <v>87000</v>
      </c>
    </row>
    <row r="49" spans="1:3" x14ac:dyDescent="0.35">
      <c r="A49" s="12">
        <v>2029</v>
      </c>
      <c r="B49" s="13" t="s">
        <v>102</v>
      </c>
      <c r="C49" s="201">
        <v>103200</v>
      </c>
    </row>
    <row r="50" spans="1:3" x14ac:dyDescent="0.35">
      <c r="A50" s="12">
        <v>2029</v>
      </c>
      <c r="B50" s="13" t="s">
        <v>91</v>
      </c>
      <c r="C50" s="201">
        <v>293000</v>
      </c>
    </row>
    <row r="51" spans="1:3" x14ac:dyDescent="0.35">
      <c r="A51" s="12">
        <v>2029</v>
      </c>
      <c r="B51" s="13" t="s">
        <v>27</v>
      </c>
      <c r="C51" s="201">
        <v>190722</v>
      </c>
    </row>
    <row r="52" spans="1:3" x14ac:dyDescent="0.35">
      <c r="A52" s="12">
        <v>2029</v>
      </c>
      <c r="B52" s="13" t="s">
        <v>48</v>
      </c>
      <c r="C52" s="201">
        <v>171375</v>
      </c>
    </row>
    <row r="53" spans="1:3" x14ac:dyDescent="0.35">
      <c r="A53" s="12">
        <v>2029</v>
      </c>
      <c r="B53" s="13" t="s">
        <v>46</v>
      </c>
      <c r="C53" s="201">
        <v>324250</v>
      </c>
    </row>
    <row r="54" spans="1:3" x14ac:dyDescent="0.35">
      <c r="A54" s="12">
        <v>2029</v>
      </c>
      <c r="B54" s="13" t="s">
        <v>47</v>
      </c>
      <c r="C54" s="201">
        <v>84100</v>
      </c>
    </row>
    <row r="55" spans="1:3" x14ac:dyDescent="0.35">
      <c r="A55" s="12">
        <v>2029</v>
      </c>
      <c r="B55" s="13" t="s">
        <v>92</v>
      </c>
      <c r="C55" s="201">
        <v>344000</v>
      </c>
    </row>
    <row r="56" spans="1:3" x14ac:dyDescent="0.35">
      <c r="A56" s="12">
        <v>2029</v>
      </c>
      <c r="B56" s="13" t="s">
        <v>93</v>
      </c>
      <c r="C56" s="201">
        <v>469000</v>
      </c>
    </row>
    <row r="57" spans="1:3" x14ac:dyDescent="0.35">
      <c r="A57" s="12">
        <v>2029</v>
      </c>
      <c r="B57" s="13" t="s">
        <v>94</v>
      </c>
      <c r="C57" s="201">
        <v>904000</v>
      </c>
    </row>
    <row r="58" spans="1:3" x14ac:dyDescent="0.35">
      <c r="A58" s="12">
        <v>2030</v>
      </c>
      <c r="B58" s="13" t="s">
        <v>102</v>
      </c>
      <c r="C58" s="201">
        <v>103200</v>
      </c>
    </row>
    <row r="59" spans="1:3" x14ac:dyDescent="0.35">
      <c r="A59" s="12">
        <v>2030</v>
      </c>
      <c r="B59" s="13" t="s">
        <v>106</v>
      </c>
      <c r="C59" s="201">
        <v>107000</v>
      </c>
    </row>
    <row r="60" spans="1:3" x14ac:dyDescent="0.35">
      <c r="A60" s="12">
        <v>2030</v>
      </c>
      <c r="B60" s="13" t="s">
        <v>107</v>
      </c>
      <c r="C60" s="201">
        <v>74200</v>
      </c>
    </row>
    <row r="61" spans="1:3" x14ac:dyDescent="0.35">
      <c r="A61" s="12">
        <v>2030</v>
      </c>
      <c r="B61" s="13" t="s">
        <v>95</v>
      </c>
      <c r="C61" s="201">
        <v>142625</v>
      </c>
    </row>
    <row r="62" spans="1:3" x14ac:dyDescent="0.35">
      <c r="A62" s="12">
        <v>2030</v>
      </c>
      <c r="B62" s="13" t="s">
        <v>47</v>
      </c>
      <c r="C62" s="201">
        <v>84100</v>
      </c>
    </row>
    <row r="63" spans="1:3" x14ac:dyDescent="0.35">
      <c r="A63" s="12">
        <v>2031</v>
      </c>
      <c r="B63" s="13" t="s">
        <v>102</v>
      </c>
      <c r="C63" s="201">
        <v>103200</v>
      </c>
    </row>
    <row r="64" spans="1:3" x14ac:dyDescent="0.35">
      <c r="A64" s="12">
        <v>2031</v>
      </c>
      <c r="B64" s="13" t="s">
        <v>106</v>
      </c>
      <c r="C64" s="201">
        <v>107000</v>
      </c>
    </row>
    <row r="65" spans="1:3" x14ac:dyDescent="0.35">
      <c r="A65" s="12">
        <v>2031</v>
      </c>
      <c r="B65" s="13" t="s">
        <v>107</v>
      </c>
      <c r="C65" s="201">
        <v>74200</v>
      </c>
    </row>
    <row r="66" spans="1:3" x14ac:dyDescent="0.35">
      <c r="A66" s="12">
        <v>2031</v>
      </c>
      <c r="B66" s="13" t="s">
        <v>95</v>
      </c>
      <c r="C66" s="201">
        <v>142625</v>
      </c>
    </row>
    <row r="67" spans="1:3" x14ac:dyDescent="0.35">
      <c r="A67" s="12">
        <v>2031</v>
      </c>
      <c r="B67" s="13" t="s">
        <v>47</v>
      </c>
      <c r="C67" s="201">
        <v>84100</v>
      </c>
    </row>
    <row r="68" spans="1:3" x14ac:dyDescent="0.35">
      <c r="A68" s="12">
        <v>2032</v>
      </c>
      <c r="B68" s="13" t="s">
        <v>102</v>
      </c>
      <c r="C68" s="201">
        <v>103200</v>
      </c>
    </row>
    <row r="69" spans="1:3" x14ac:dyDescent="0.35">
      <c r="A69" s="12">
        <v>2032</v>
      </c>
      <c r="B69" s="13" t="s">
        <v>106</v>
      </c>
      <c r="C69" s="201">
        <v>107000</v>
      </c>
    </row>
    <row r="70" spans="1:3" x14ac:dyDescent="0.35">
      <c r="A70" s="12">
        <v>2032</v>
      </c>
      <c r="B70" s="13" t="s">
        <v>107</v>
      </c>
      <c r="C70" s="201">
        <v>74200</v>
      </c>
    </row>
    <row r="71" spans="1:3" x14ac:dyDescent="0.35">
      <c r="A71" s="12">
        <v>2032</v>
      </c>
      <c r="B71" s="13" t="s">
        <v>95</v>
      </c>
      <c r="C71" s="201">
        <v>142625</v>
      </c>
    </row>
    <row r="72" spans="1:3" x14ac:dyDescent="0.35">
      <c r="A72" s="12">
        <v>2032</v>
      </c>
      <c r="B72" s="13" t="s">
        <v>47</v>
      </c>
      <c r="C72" s="201">
        <v>84100</v>
      </c>
    </row>
    <row r="73" spans="1:3" x14ac:dyDescent="0.35">
      <c r="A73" s="12">
        <v>2033</v>
      </c>
      <c r="B73" s="13" t="s">
        <v>102</v>
      </c>
      <c r="C73" s="201">
        <v>103200</v>
      </c>
    </row>
    <row r="74" spans="1:3" x14ac:dyDescent="0.35">
      <c r="A74" s="12">
        <v>2033</v>
      </c>
      <c r="B74" s="13" t="s">
        <v>106</v>
      </c>
      <c r="C74" s="201">
        <v>107000</v>
      </c>
    </row>
    <row r="75" spans="1:3" x14ac:dyDescent="0.35">
      <c r="A75" s="12">
        <v>2033</v>
      </c>
      <c r="B75" s="13" t="s">
        <v>107</v>
      </c>
      <c r="C75" s="201">
        <v>74200</v>
      </c>
    </row>
    <row r="76" spans="1:3" x14ac:dyDescent="0.35">
      <c r="A76" s="12">
        <v>2033</v>
      </c>
      <c r="B76" s="13" t="s">
        <v>95</v>
      </c>
      <c r="C76" s="201">
        <v>142625</v>
      </c>
    </row>
    <row r="77" spans="1:3" x14ac:dyDescent="0.35">
      <c r="A77" s="12">
        <v>2033</v>
      </c>
      <c r="B77" s="13" t="s">
        <v>47</v>
      </c>
      <c r="C77" s="201">
        <v>84100</v>
      </c>
    </row>
    <row r="78" spans="1:3" x14ac:dyDescent="0.35">
      <c r="A78" s="12">
        <v>2034</v>
      </c>
      <c r="B78" s="13" t="s">
        <v>102</v>
      </c>
      <c r="C78" s="201">
        <v>103200</v>
      </c>
    </row>
    <row r="79" spans="1:3" x14ac:dyDescent="0.35">
      <c r="A79" s="12">
        <v>2034</v>
      </c>
      <c r="B79" s="13" t="s">
        <v>106</v>
      </c>
      <c r="C79" s="201">
        <v>107000</v>
      </c>
    </row>
    <row r="80" spans="1:3" x14ac:dyDescent="0.35">
      <c r="A80" s="12">
        <v>2034</v>
      </c>
      <c r="B80" s="13" t="s">
        <v>107</v>
      </c>
      <c r="C80" s="201">
        <v>74200</v>
      </c>
    </row>
    <row r="81" spans="1:3" x14ac:dyDescent="0.35">
      <c r="A81" s="12">
        <v>2034</v>
      </c>
      <c r="B81" s="13" t="s">
        <v>47</v>
      </c>
      <c r="C81" s="201">
        <v>84100</v>
      </c>
    </row>
    <row r="82" spans="1:3" x14ac:dyDescent="0.35">
      <c r="A82" s="12">
        <v>2035</v>
      </c>
      <c r="B82" s="13" t="s">
        <v>102</v>
      </c>
      <c r="C82" s="201">
        <v>103200</v>
      </c>
    </row>
    <row r="83" spans="1:3" x14ac:dyDescent="0.35">
      <c r="A83" s="12">
        <v>2035</v>
      </c>
      <c r="B83" s="13" t="s">
        <v>47</v>
      </c>
      <c r="C83" s="201">
        <v>84100</v>
      </c>
    </row>
    <row r="84" spans="1:3" x14ac:dyDescent="0.35">
      <c r="A84" s="12">
        <v>2036</v>
      </c>
      <c r="B84" s="13" t="s">
        <v>108</v>
      </c>
      <c r="C84" s="201">
        <v>99700</v>
      </c>
    </row>
    <row r="85" spans="1:3" x14ac:dyDescent="0.35">
      <c r="A85" s="12">
        <v>2036</v>
      </c>
      <c r="B85" s="13" t="s">
        <v>109</v>
      </c>
      <c r="C85" s="201">
        <v>68200</v>
      </c>
    </row>
    <row r="86" spans="1:3" x14ac:dyDescent="0.35">
      <c r="A86" s="12">
        <v>2037</v>
      </c>
      <c r="B86" s="13" t="s">
        <v>108</v>
      </c>
      <c r="C86" s="201">
        <v>99700</v>
      </c>
    </row>
    <row r="87" spans="1:3" x14ac:dyDescent="0.35">
      <c r="A87" s="12">
        <v>2037</v>
      </c>
      <c r="B87" s="13" t="s">
        <v>109</v>
      </c>
      <c r="C87" s="201">
        <v>68200</v>
      </c>
    </row>
    <row r="88" spans="1:3" x14ac:dyDescent="0.35">
      <c r="A88" s="12">
        <v>2038</v>
      </c>
      <c r="B88" s="13" t="s">
        <v>108</v>
      </c>
      <c r="C88" s="201">
        <v>99700</v>
      </c>
    </row>
    <row r="89" spans="1:3" x14ac:dyDescent="0.35">
      <c r="A89" s="12">
        <v>2038</v>
      </c>
      <c r="B89" s="13" t="s">
        <v>109</v>
      </c>
      <c r="C89" s="201">
        <v>68200</v>
      </c>
    </row>
    <row r="90" spans="1:3" x14ac:dyDescent="0.35">
      <c r="A90" s="12">
        <v>2039</v>
      </c>
      <c r="B90" s="13" t="s">
        <v>108</v>
      </c>
      <c r="C90" s="201">
        <v>99700</v>
      </c>
    </row>
    <row r="91" spans="1:3" x14ac:dyDescent="0.35">
      <c r="A91" s="12">
        <v>2039</v>
      </c>
      <c r="B91" s="13" t="s">
        <v>109</v>
      </c>
      <c r="C91" s="201">
        <v>68200</v>
      </c>
    </row>
    <row r="92" spans="1:3" x14ac:dyDescent="0.35">
      <c r="A92" s="12">
        <v>2040</v>
      </c>
      <c r="B92" s="13" t="s">
        <v>108</v>
      </c>
      <c r="C92" s="201">
        <v>99700</v>
      </c>
    </row>
    <row r="93" spans="1:3" x14ac:dyDescent="0.35">
      <c r="A93" s="12">
        <v>2040</v>
      </c>
      <c r="B93" s="13" t="s">
        <v>109</v>
      </c>
      <c r="C93" s="201">
        <v>68200</v>
      </c>
    </row>
    <row r="94" spans="1:3" x14ac:dyDescent="0.35">
      <c r="A94" s="12">
        <v>2041</v>
      </c>
      <c r="B94" s="13" t="s">
        <v>108</v>
      </c>
      <c r="C94" s="201">
        <v>99700</v>
      </c>
    </row>
    <row r="95" spans="1:3" x14ac:dyDescent="0.35">
      <c r="A95" s="12">
        <v>2041</v>
      </c>
      <c r="B95" s="13" t="s">
        <v>109</v>
      </c>
      <c r="C95" s="201">
        <v>68200</v>
      </c>
    </row>
    <row r="96" spans="1:3" x14ac:dyDescent="0.35">
      <c r="A96" s="12">
        <v>2042</v>
      </c>
      <c r="B96" s="13" t="s">
        <v>108</v>
      </c>
      <c r="C96" s="201">
        <v>99700</v>
      </c>
    </row>
    <row r="97" spans="1:3" x14ac:dyDescent="0.35">
      <c r="A97" s="12">
        <v>2042</v>
      </c>
      <c r="B97" s="13" t="s">
        <v>109</v>
      </c>
      <c r="C97" s="201">
        <v>68200</v>
      </c>
    </row>
    <row r="98" spans="1:3" x14ac:dyDescent="0.35">
      <c r="A98" s="12">
        <v>2043</v>
      </c>
      <c r="B98" s="13" t="s">
        <v>108</v>
      </c>
      <c r="C98" s="201">
        <v>99700</v>
      </c>
    </row>
    <row r="99" spans="1:3" x14ac:dyDescent="0.35">
      <c r="A99" s="12">
        <v>2043</v>
      </c>
      <c r="B99" s="13" t="s">
        <v>109</v>
      </c>
      <c r="C99" s="201">
        <v>68200</v>
      </c>
    </row>
    <row r="100" spans="1:3" x14ac:dyDescent="0.35">
      <c r="A100" s="12">
        <v>2044</v>
      </c>
      <c r="B100" s="13" t="s">
        <v>108</v>
      </c>
      <c r="C100" s="201">
        <v>99700</v>
      </c>
    </row>
    <row r="101" spans="1:3" x14ac:dyDescent="0.35">
      <c r="A101" s="12">
        <v>2044</v>
      </c>
      <c r="B101" s="13" t="s">
        <v>109</v>
      </c>
      <c r="C101" s="201">
        <v>68200</v>
      </c>
    </row>
    <row r="102" spans="1:3" x14ac:dyDescent="0.35">
      <c r="A102" s="12">
        <v>2045</v>
      </c>
      <c r="B102" s="13" t="s">
        <v>108</v>
      </c>
      <c r="C102" s="201">
        <v>99700</v>
      </c>
    </row>
    <row r="103" spans="1:3" ht="15" thickBot="1" x14ac:dyDescent="0.4">
      <c r="A103" s="14">
        <v>2045</v>
      </c>
      <c r="B103" s="15" t="s">
        <v>109</v>
      </c>
      <c r="C103" s="202">
        <v>68200</v>
      </c>
    </row>
  </sheetData>
  <sheetProtection algorithmName="SHA-512" hashValue="GNwPw5WvD8R+5SUNEhVBOa6UHEzAv2qVcNZ6qpwmXM4A16GWKPRAjf3RCrFhTjhFj2mapQA1RrEpII8X9G0jqg==" saltValue="Mhv57nxlmYqu6zHLj/Wbcw==" spinCount="100000" sheet="1" objects="1" scenarios="1"/>
  <pageMargins left="0.7" right="0.7" top="0.78740157499999996" bottom="0.78740157499999996" header="0.3" footer="0.3"/>
  <pageSetup paperSize="9" orientation="portrait" verticalDpi="0" r:id="rId1"/>
  <headerFooter differentFirst="1">
    <oddHeader>&amp;R&amp;G</oddHeader>
    <firstHeader>&amp;R&amp;G</first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1"/>
  <sheetViews>
    <sheetView view="pageLayout" zoomScaleNormal="80" workbookViewId="0">
      <selection activeCell="A2" sqref="A2:F2"/>
    </sheetView>
  </sheetViews>
  <sheetFormatPr baseColWidth="10" defaultColWidth="11.453125" defaultRowHeight="14.5" x14ac:dyDescent="0.35"/>
  <cols>
    <col min="1" max="1" width="33" style="137" customWidth="1"/>
    <col min="2" max="2" width="21.7265625" style="137" customWidth="1"/>
    <col min="3" max="3" width="19.26953125" style="137" customWidth="1"/>
    <col min="4" max="4" width="28.26953125" style="137" customWidth="1"/>
    <col min="5" max="6" width="23.26953125" style="137" customWidth="1"/>
    <col min="7" max="16384" width="11.453125" style="137"/>
  </cols>
  <sheetData>
    <row r="1" spans="1:6" ht="21.5" thickBot="1" x14ac:dyDescent="0.55000000000000004">
      <c r="A1" s="64" t="s">
        <v>139</v>
      </c>
    </row>
    <row r="2" spans="1:6" ht="53.25" customHeight="1" thickBot="1" x14ac:dyDescent="0.4">
      <c r="A2" s="337" t="s">
        <v>181</v>
      </c>
      <c r="B2" s="338"/>
      <c r="C2" s="338"/>
      <c r="D2" s="338"/>
      <c r="E2" s="338"/>
      <c r="F2" s="339"/>
    </row>
    <row r="3" spans="1:6" s="35" customFormat="1" ht="34.5" customHeight="1" thickBot="1" x14ac:dyDescent="0.4">
      <c r="A3" s="139" t="s">
        <v>72</v>
      </c>
      <c r="B3" s="137" t="s">
        <v>60</v>
      </c>
      <c r="D3" s="34">
        <v>8.35</v>
      </c>
      <c r="E3" s="189" t="s">
        <v>59</v>
      </c>
      <c r="F3" s="137"/>
    </row>
    <row r="4" spans="1:6" ht="29.5" thickBot="1" x14ac:dyDescent="0.4">
      <c r="A4" s="190" t="s">
        <v>10</v>
      </c>
      <c r="B4" s="191" t="s">
        <v>128</v>
      </c>
      <c r="C4" s="191" t="s">
        <v>128</v>
      </c>
      <c r="D4" s="191" t="s">
        <v>126</v>
      </c>
      <c r="E4" s="191" t="s">
        <v>124</v>
      </c>
      <c r="F4" s="192" t="s">
        <v>125</v>
      </c>
    </row>
    <row r="5" spans="1:6" x14ac:dyDescent="0.35">
      <c r="A5" s="193" t="s">
        <v>58</v>
      </c>
      <c r="B5" s="194">
        <v>123846162</v>
      </c>
      <c r="C5" s="194">
        <v>132834996</v>
      </c>
      <c r="D5" s="194">
        <f>C5/100*$D$3</f>
        <v>11091722.165999999</v>
      </c>
      <c r="E5" s="340">
        <v>2443141</v>
      </c>
      <c r="F5" s="342">
        <v>2620466</v>
      </c>
    </row>
    <row r="6" spans="1:6" ht="15" thickBot="1" x14ac:dyDescent="0.4">
      <c r="A6" s="195" t="s">
        <v>127</v>
      </c>
      <c r="B6" s="196">
        <v>301255000</v>
      </c>
      <c r="C6" s="196">
        <v>323120282</v>
      </c>
      <c r="D6" s="196">
        <f>C6/100*$D$3</f>
        <v>26980543.546999998</v>
      </c>
      <c r="E6" s="341"/>
      <c r="F6" s="343"/>
    </row>
    <row r="7" spans="1:6" ht="15" thickBot="1" x14ac:dyDescent="0.4">
      <c r="A7" s="197" t="s">
        <v>12</v>
      </c>
      <c r="B7" s="198">
        <f>SUM(B5:B6)</f>
        <v>425101162</v>
      </c>
      <c r="C7" s="198">
        <f>SUM(C5:C6)</f>
        <v>455955278</v>
      </c>
      <c r="D7" s="198">
        <f>SUM(D5:D6)</f>
        <v>38072265.713</v>
      </c>
      <c r="E7" s="198">
        <f>SUM(E5:E5)</f>
        <v>2443141</v>
      </c>
      <c r="F7" s="199">
        <f>SUM(F5:F5)</f>
        <v>2620466</v>
      </c>
    </row>
    <row r="11" spans="1:6" x14ac:dyDescent="0.35">
      <c r="A11" s="200"/>
    </row>
  </sheetData>
  <sheetProtection algorithmName="SHA-512" hashValue="lTdL9ufLYD/A088FciplWlE+ldTqSkcpVyldiTwX/X8xHa+Z9i1JT/tWOMec60K/xkUuQ4PVodKF1ThdkNrZHg==" saltValue="HMh23SzF1wAZhS2+2EZSPw==" spinCount="100000" sheet="1" objects="1" scenarios="1"/>
  <mergeCells count="3">
    <mergeCell ref="A2:F2"/>
    <mergeCell ref="E5:E6"/>
    <mergeCell ref="F5:F6"/>
  </mergeCells>
  <pageMargins left="0.7" right="0.7" top="0.78740157499999996" bottom="0.78740157499999996" header="0.3" footer="0.3"/>
  <pageSetup paperSize="9" scale="88" fitToHeight="0" orientation="landscape" horizontalDpi="360" verticalDpi="360" r:id="rId1"/>
  <headerFooter differentFirst="1">
    <firstHeader>&amp;R&amp;G</firstHead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12</vt:i4>
      </vt:variant>
    </vt:vector>
  </HeadingPairs>
  <TitlesOfParts>
    <vt:vector size="12" baseType="lpstr">
      <vt:lpstr>Anleitung</vt:lpstr>
      <vt:lpstr>Kostenkalkulation</vt:lpstr>
      <vt:lpstr>kalkulierteBK</vt:lpstr>
      <vt:lpstr>laufendeBK</vt:lpstr>
      <vt:lpstr>AH1.1</vt:lpstr>
      <vt:lpstr>AH1.2</vt:lpstr>
      <vt:lpstr>AH1.3</vt:lpstr>
      <vt:lpstr>AH1.4</vt:lpstr>
      <vt:lpstr>AH2.0</vt:lpstr>
      <vt:lpstr>AH3.0</vt:lpstr>
      <vt:lpstr>AG</vt:lpstr>
      <vt:lpstr>Verbrauch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Bernd Kobler</dc:creator>
  <cp:lastModifiedBy>Daniela Meier</cp:lastModifiedBy>
  <cp:lastPrinted>2022-04-27T06:05:43Z</cp:lastPrinted>
  <dcterms:created xsi:type="dcterms:W3CDTF">2021-06-29T10:56:35Z</dcterms:created>
  <dcterms:modified xsi:type="dcterms:W3CDTF">2022-04-27T06:40:56Z</dcterms:modified>
</cp:coreProperties>
</file>